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675" windowWidth="20910" windowHeight="10245" tabRatio="876" activeTab="2"/>
  </bookViews>
  <sheets>
    <sheet name="Carry Forward" sheetId="37" r:id="rId1"/>
    <sheet name="2022-23 Wages &amp; Benefits" sheetId="57" r:id="rId2"/>
    <sheet name="Wage Schedule" sheetId="65" r:id="rId3"/>
    <sheet name="Personnel by Fund" sheetId="40" r:id="rId4"/>
    <sheet name="Combined GF Revenues" sheetId="72" r:id="rId5"/>
    <sheet name="GF-Admin &amp; Plng" sheetId="3" r:id="rId6"/>
    <sheet name="GF-Public Safety" sheetId="29" r:id="rId7"/>
    <sheet name="GF-Parks" sheetId="6" r:id="rId8"/>
    <sheet name="GF-NonDep't" sheetId="5" r:id="rId9"/>
    <sheet name="GF Combined Expenses" sheetId="22" r:id="rId10"/>
    <sheet name="GF Expenses by Division" sheetId="16" r:id="rId11"/>
    <sheet name="GF-Debt Svc" sheetId="69" r:id="rId12"/>
    <sheet name="Street" sheetId="9" r:id="rId13"/>
    <sheet name="Water" sheetId="12" r:id="rId14"/>
    <sheet name="Wastewater" sheetId="11" r:id="rId15"/>
    <sheet name="Storm Drain" sheetId="8" r:id="rId16"/>
    <sheet name="SDC" sheetId="10" r:id="rId17"/>
    <sheet name="Reserve" sheetId="7" r:id="rId18"/>
    <sheet name="All Funds Expenses-2020-21" sheetId="19" r:id="rId19"/>
    <sheet name="All Fund Revenues for LB-1" sheetId="71" r:id="rId20"/>
    <sheet name="CIP_Rec Costs" sheetId="60" r:id="rId21"/>
  </sheets>
  <definedNames>
    <definedName name="_xlnm.Print_Area" localSheetId="1">'2022-23 Wages &amp; Benefits'!$A$1:$Z$16</definedName>
    <definedName name="_xlnm.Print_Area" localSheetId="19">'All Fund Revenues for LB-1'!$A$1:$H$44</definedName>
    <definedName name="_xlnm.Print_Area" localSheetId="18">'All Funds Expenses-2020-21'!$A$1:$N$107</definedName>
    <definedName name="_xlnm.Print_Area" localSheetId="20">'CIP_Rec Costs'!$A$1:$I$38</definedName>
    <definedName name="_xlnm.Print_Area" localSheetId="4">'Combined GF Revenues'!$D$1:$K$83</definedName>
    <definedName name="_xlnm.Print_Area" localSheetId="9">'GF Combined Expenses'!$A$1:$K$92</definedName>
    <definedName name="_xlnm.Print_Area" localSheetId="10">'GF Expenses by Division'!$A$1:$I$85</definedName>
    <definedName name="_xlnm.Print_Area" localSheetId="5">'GF-Admin &amp; Plng'!$D$1:$L$33</definedName>
    <definedName name="_xlnm.Print_Area" localSheetId="8">'GF-NonDep''t'!$D$1:$K$78</definedName>
    <definedName name="_xlnm.Print_Area" localSheetId="7">'GF-Parks'!$D$1:$K$59</definedName>
    <definedName name="_xlnm.Print_Area" localSheetId="6">'GF-Public Safety'!$D$1:$K$60</definedName>
    <definedName name="_xlnm.Print_Area" localSheetId="3">'Personnel by Fund'!$A$1:$O$70</definedName>
    <definedName name="_xlnm.Print_Area" localSheetId="17">Reserve!$D$1:$K$48</definedName>
    <definedName name="_xlnm.Print_Area" localSheetId="16">SDC!$D$1:$K$67</definedName>
    <definedName name="_xlnm.Print_Area" localSheetId="15">'Storm Drain'!$D$1:$K$73</definedName>
    <definedName name="_xlnm.Print_Area" localSheetId="12">Street!$D$1:$K$72</definedName>
    <definedName name="_xlnm.Print_Area" localSheetId="2">'Wage Schedule'!$A$1:$I$25</definedName>
    <definedName name="_xlnm.Print_Area" localSheetId="14">Wastewater!$D$1:$K$106</definedName>
    <definedName name="_xlnm.Print_Area" localSheetId="13">Water!$D$1:$K$105</definedName>
    <definedName name="_xlnm.Print_Titles" localSheetId="18">'All Funds Expenses-2020-21'!$1:$1</definedName>
    <definedName name="_xlnm.Print_Titles" localSheetId="3">'Personnel by Fund'!$1:$3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65"/>
  <c r="P24"/>
  <c r="P23"/>
  <c r="P19"/>
  <c r="P18"/>
  <c r="P7"/>
  <c r="P6"/>
  <c r="E17"/>
  <c r="O24"/>
  <c r="O23"/>
  <c r="O19"/>
  <c r="O18"/>
  <c r="O7"/>
  <c r="O9"/>
  <c r="O6"/>
  <c r="H65" i="12"/>
  <c r="H26" i="3"/>
  <c r="J26"/>
  <c r="K26"/>
  <c r="F11" i="57"/>
  <c r="F7"/>
  <c r="D13" i="65"/>
  <c r="D25" s="1"/>
  <c r="D12"/>
  <c r="D24" s="1"/>
  <c r="D11"/>
  <c r="D23" s="1"/>
  <c r="D10"/>
  <c r="D22" s="1"/>
  <c r="D9"/>
  <c r="D21" s="1"/>
  <c r="D8"/>
  <c r="D20" s="1"/>
  <c r="D7"/>
  <c r="D19" s="1"/>
  <c r="D6"/>
  <c r="D18" s="1"/>
  <c r="D5"/>
  <c r="D17" s="1"/>
  <c r="D4"/>
  <c r="D16" s="1"/>
  <c r="G69" i="9" l="1"/>
  <c r="G66"/>
  <c r="J101" i="12"/>
  <c r="J76"/>
  <c r="G22" i="8"/>
  <c r="H16" i="10"/>
  <c r="H15"/>
  <c r="H14"/>
  <c r="H13"/>
  <c r="H12"/>
  <c r="H11"/>
  <c r="F11" i="7"/>
  <c r="F12" i="10"/>
  <c r="F11"/>
  <c r="F15"/>
  <c r="F14"/>
  <c r="F13"/>
  <c r="F31" i="8"/>
  <c r="J34"/>
  <c r="K34"/>
  <c r="J33"/>
  <c r="K33"/>
  <c r="F18" i="11"/>
  <c r="F13" i="12"/>
  <c r="F17"/>
  <c r="K44" i="5"/>
  <c r="J44"/>
  <c r="J23"/>
  <c r="K23"/>
  <c r="K21"/>
  <c r="J21"/>
  <c r="F20" i="6" l="1"/>
  <c r="K28" i="29"/>
  <c r="J28"/>
  <c r="J32" i="72"/>
  <c r="K32" s="1"/>
  <c r="G55"/>
  <c r="H55"/>
  <c r="J55" s="1"/>
  <c r="K55" s="1"/>
  <c r="J49" i="5"/>
  <c r="K49" s="1"/>
  <c r="B70" i="71" l="1"/>
  <c r="E68"/>
  <c r="D68"/>
  <c r="C68"/>
  <c r="B68"/>
  <c r="B61"/>
  <c r="L47"/>
  <c r="C42"/>
  <c r="P81" i="19"/>
  <c r="M87" l="1"/>
  <c r="L42" i="71" l="1"/>
  <c r="C18"/>
  <c r="B18"/>
  <c r="J18" i="72"/>
  <c r="K18" s="1"/>
  <c r="J17"/>
  <c r="K17" s="1"/>
  <c r="E36" i="71" l="1"/>
  <c r="G36" s="1"/>
  <c r="D36"/>
  <c r="C36"/>
  <c r="B36"/>
  <c r="E40"/>
  <c r="G40" s="1"/>
  <c r="H40" s="1"/>
  <c r="D40"/>
  <c r="C40"/>
  <c r="B40"/>
  <c r="D39"/>
  <c r="C39"/>
  <c r="B39"/>
  <c r="E35"/>
  <c r="G35" s="1"/>
  <c r="H35" s="1"/>
  <c r="D35"/>
  <c r="C35"/>
  <c r="B35"/>
  <c r="E31"/>
  <c r="G31" s="1"/>
  <c r="H31" s="1"/>
  <c r="D31"/>
  <c r="C31"/>
  <c r="B31"/>
  <c r="H36" l="1"/>
  <c r="J81" i="12" l="1"/>
  <c r="K81" s="1"/>
  <c r="E62" i="19" l="1"/>
  <c r="J45" i="5"/>
  <c r="K45" s="1"/>
  <c r="O62" i="19"/>
  <c r="O22" l="1"/>
  <c r="O13" l="1"/>
  <c r="O58"/>
  <c r="O70"/>
  <c r="O88"/>
  <c r="N27"/>
  <c r="C27"/>
  <c r="O23"/>
  <c r="M22"/>
  <c r="M23"/>
  <c r="D23"/>
  <c r="K23"/>
  <c r="E22"/>
  <c r="G25"/>
  <c r="D22"/>
  <c r="H26" i="22"/>
  <c r="G36" i="8"/>
  <c r="F36"/>
  <c r="E36"/>
  <c r="H30"/>
  <c r="J16" i="19" s="1"/>
  <c r="H37" i="11"/>
  <c r="H39" i="12"/>
  <c r="H30" i="9"/>
  <c r="H20" i="5"/>
  <c r="E29" i="19" s="1"/>
  <c r="J30" i="8" l="1"/>
  <c r="K30" s="1"/>
  <c r="J69" i="12"/>
  <c r="K69" s="1"/>
  <c r="H71"/>
  <c r="G71"/>
  <c r="F71"/>
  <c r="E71"/>
  <c r="J70"/>
  <c r="K70" s="1"/>
  <c r="J21"/>
  <c r="K21" s="1"/>
  <c r="H24" i="22"/>
  <c r="H28"/>
  <c r="J28" i="3" l="1"/>
  <c r="K28" s="1"/>
  <c r="F59" i="72" l="1"/>
  <c r="J42"/>
  <c r="K42" s="1"/>
  <c r="J41"/>
  <c r="K41" s="1"/>
  <c r="J27"/>
  <c r="K27" s="1"/>
  <c r="J38"/>
  <c r="K38" s="1"/>
  <c r="J40"/>
  <c r="K40" s="1"/>
  <c r="E20" i="29"/>
  <c r="F20"/>
  <c r="K50" i="5"/>
  <c r="J50"/>
  <c r="G85" i="12" l="1"/>
  <c r="F85"/>
  <c r="E85"/>
  <c r="G17" i="10" l="1"/>
  <c r="G62" i="11"/>
  <c r="F62"/>
  <c r="E62"/>
  <c r="H16" i="9"/>
  <c r="J30" l="1"/>
  <c r="K30" s="1"/>
  <c r="H11" i="11" l="1"/>
  <c r="E39" i="71" s="1"/>
  <c r="G39" s="1"/>
  <c r="H39" s="1"/>
  <c r="H31" i="8"/>
  <c r="M12"/>
  <c r="F41" i="7" l="1"/>
  <c r="F46" s="1"/>
  <c r="H36"/>
  <c r="G46"/>
  <c r="H51" i="8"/>
  <c r="H46" i="7"/>
  <c r="G36"/>
  <c r="G21"/>
  <c r="F21"/>
  <c r="F36"/>
  <c r="E36"/>
  <c r="F10" i="11"/>
  <c r="F21" s="1"/>
  <c r="H26" i="10"/>
  <c r="H25"/>
  <c r="J25" s="1"/>
  <c r="K25" s="1"/>
  <c r="H24"/>
  <c r="H28" s="1"/>
  <c r="E38" i="71" s="1"/>
  <c r="G38" s="1"/>
  <c r="H38" s="1"/>
  <c r="H19" i="10"/>
  <c r="H23"/>
  <c r="H22"/>
  <c r="H21"/>
  <c r="H20"/>
  <c r="J36"/>
  <c r="K36" s="1"/>
  <c r="E17"/>
  <c r="H20" i="12"/>
  <c r="J20" s="1"/>
  <c r="K20" s="1"/>
  <c r="M68" i="19"/>
  <c r="N68" s="1"/>
  <c r="E70" i="72"/>
  <c r="F70"/>
  <c r="G70"/>
  <c r="G60" i="5"/>
  <c r="F60"/>
  <c r="E60"/>
  <c r="H57"/>
  <c r="H56"/>
  <c r="J46" i="60"/>
  <c r="I48"/>
  <c r="I47"/>
  <c r="J50" s="1"/>
  <c r="G50"/>
  <c r="I50" s="1"/>
  <c r="G49"/>
  <c r="I49" s="1"/>
  <c r="G48"/>
  <c r="G47"/>
  <c r="H50" s="1"/>
  <c r="G46"/>
  <c r="D45"/>
  <c r="J33" i="72"/>
  <c r="K33" s="1"/>
  <c r="J39"/>
  <c r="K39" s="1"/>
  <c r="E49" i="40"/>
  <c r="E42" i="9"/>
  <c r="F42"/>
  <c r="E41" i="71"/>
  <c r="E52" s="1"/>
  <c r="D41"/>
  <c r="C41"/>
  <c r="B41"/>
  <c r="B42"/>
  <c r="B37"/>
  <c r="B33"/>
  <c r="B32"/>
  <c r="B30"/>
  <c r="B29"/>
  <c r="B28"/>
  <c r="B27"/>
  <c r="B25"/>
  <c r="B24"/>
  <c r="B20"/>
  <c r="B19"/>
  <c r="B15"/>
  <c r="B14"/>
  <c r="B9"/>
  <c r="G45" i="22"/>
  <c r="F45"/>
  <c r="E45"/>
  <c r="E81" i="16"/>
  <c r="H42"/>
  <c r="M64" i="19"/>
  <c r="A11" i="69"/>
  <c r="A12" s="1"/>
  <c r="A13" s="1"/>
  <c r="A14" s="1"/>
  <c r="A15" s="1"/>
  <c r="A16" s="1"/>
  <c r="A17" s="1"/>
  <c r="A18" s="1"/>
  <c r="E58" i="60"/>
  <c r="E57"/>
  <c r="K16" i="19"/>
  <c r="E56" i="60"/>
  <c r="E55"/>
  <c r="M16" i="19" s="1"/>
  <c r="E54" i="60"/>
  <c r="E50"/>
  <c r="H35" i="8" s="1"/>
  <c r="J35" s="1"/>
  <c r="K35" s="1"/>
  <c r="J18" i="12"/>
  <c r="K18" s="1"/>
  <c r="H45" i="6"/>
  <c r="J45" s="1"/>
  <c r="I9" i="60"/>
  <c r="I13"/>
  <c r="H9"/>
  <c r="H10" s="1"/>
  <c r="H13"/>
  <c r="G9"/>
  <c r="G11" s="1"/>
  <c r="F9"/>
  <c r="F13"/>
  <c r="E9"/>
  <c r="E12"/>
  <c r="H54" i="9" s="1"/>
  <c r="E4" i="60"/>
  <c r="G26" i="22"/>
  <c r="P15"/>
  <c r="P14"/>
  <c r="O13"/>
  <c r="N13"/>
  <c r="H51"/>
  <c r="J51" s="1"/>
  <c r="K51" s="1"/>
  <c r="G51"/>
  <c r="F51"/>
  <c r="E51"/>
  <c r="H46"/>
  <c r="J46" s="1"/>
  <c r="K46" s="1"/>
  <c r="G46"/>
  <c r="F46"/>
  <c r="E46"/>
  <c r="H39"/>
  <c r="J39" s="1"/>
  <c r="K39" s="1"/>
  <c r="G39"/>
  <c r="E39"/>
  <c r="G28"/>
  <c r="F28"/>
  <c r="E28"/>
  <c r="E26"/>
  <c r="G15"/>
  <c r="G14"/>
  <c r="G13"/>
  <c r="G12"/>
  <c r="F15"/>
  <c r="F14"/>
  <c r="F13"/>
  <c r="E15"/>
  <c r="E14"/>
  <c r="E13"/>
  <c r="E12"/>
  <c r="J16" i="10"/>
  <c r="K16" s="1"/>
  <c r="D13" i="71"/>
  <c r="H61" i="12"/>
  <c r="J61" s="1"/>
  <c r="K61" s="1"/>
  <c r="G61"/>
  <c r="F61"/>
  <c r="E61"/>
  <c r="G23"/>
  <c r="F23"/>
  <c r="E23"/>
  <c r="D2" i="6"/>
  <c r="D2" i="5" s="1"/>
  <c r="F39" i="22"/>
  <c r="N12"/>
  <c r="O12"/>
  <c r="E47" i="60"/>
  <c r="H56" i="12" s="1"/>
  <c r="E49" i="60"/>
  <c r="H40" i="9" s="1"/>
  <c r="F26" i="22"/>
  <c r="F12"/>
  <c r="E59" i="60"/>
  <c r="E46"/>
  <c r="H41" i="5" s="1"/>
  <c r="E54" i="19" s="1"/>
  <c r="N54" s="1"/>
  <c r="E48" i="60"/>
  <c r="H54" i="11" s="1"/>
  <c r="L57" i="19" s="1"/>
  <c r="E11" i="60"/>
  <c r="E13"/>
  <c r="J96" i="19"/>
  <c r="J97" s="1"/>
  <c r="G10" i="60"/>
  <c r="I10"/>
  <c r="I11"/>
  <c r="I12"/>
  <c r="E10"/>
  <c r="E14" s="1"/>
  <c r="F10"/>
  <c r="F14" s="1"/>
  <c r="F11"/>
  <c r="F12"/>
  <c r="H12"/>
  <c r="H3"/>
  <c r="I3"/>
  <c r="K8" i="72"/>
  <c r="J8"/>
  <c r="E12" i="65"/>
  <c r="E24" s="1"/>
  <c r="E10"/>
  <c r="E22" s="1"/>
  <c r="E8"/>
  <c r="E20" s="1"/>
  <c r="E6"/>
  <c r="E4"/>
  <c r="E16" s="1"/>
  <c r="C65" i="40"/>
  <c r="E33" i="71"/>
  <c r="G33" s="1"/>
  <c r="D33"/>
  <c r="C33"/>
  <c r="E37"/>
  <c r="D37"/>
  <c r="E32"/>
  <c r="G32" s="1"/>
  <c r="H32" s="1"/>
  <c r="D32"/>
  <c r="E30"/>
  <c r="D30"/>
  <c r="E29"/>
  <c r="G29" s="1"/>
  <c r="D29"/>
  <c r="E28"/>
  <c r="E55" s="1"/>
  <c r="D28"/>
  <c r="E27"/>
  <c r="G27" s="1"/>
  <c r="H27" s="1"/>
  <c r="D27"/>
  <c r="E26"/>
  <c r="D26"/>
  <c r="E25"/>
  <c r="G25" s="1"/>
  <c r="D25"/>
  <c r="E24"/>
  <c r="G24" s="1"/>
  <c r="H24" s="1"/>
  <c r="D24"/>
  <c r="E23"/>
  <c r="G23" s="1"/>
  <c r="H23" s="1"/>
  <c r="D23"/>
  <c r="E22"/>
  <c r="G22" s="1"/>
  <c r="D22"/>
  <c r="E21"/>
  <c r="D21"/>
  <c r="E20"/>
  <c r="G20" s="1"/>
  <c r="H20" s="1"/>
  <c r="D20"/>
  <c r="E19"/>
  <c r="D19"/>
  <c r="E16"/>
  <c r="G16" s="1"/>
  <c r="D16"/>
  <c r="D15"/>
  <c r="E15"/>
  <c r="G15" s="1"/>
  <c r="H15" s="1"/>
  <c r="D5" i="40"/>
  <c r="E5" s="1"/>
  <c r="D74"/>
  <c r="H74" s="1"/>
  <c r="H78" s="1"/>
  <c r="D54"/>
  <c r="E54" s="1"/>
  <c r="K14" i="57"/>
  <c r="P14" s="1"/>
  <c r="E57" i="40" s="1"/>
  <c r="E21"/>
  <c r="E28"/>
  <c r="H28" s="1"/>
  <c r="K49"/>
  <c r="E56"/>
  <c r="M56" s="1"/>
  <c r="J52" i="9"/>
  <c r="J53"/>
  <c r="J55"/>
  <c r="K55" s="1"/>
  <c r="E13" i="71"/>
  <c r="G13" s="1"/>
  <c r="C30"/>
  <c r="C32"/>
  <c r="C29"/>
  <c r="C28"/>
  <c r="C27"/>
  <c r="C24"/>
  <c r="C23"/>
  <c r="C22"/>
  <c r="C21"/>
  <c r="C20"/>
  <c r="C19"/>
  <c r="C16"/>
  <c r="C15"/>
  <c r="E14"/>
  <c r="D14"/>
  <c r="E10"/>
  <c r="G10" s="1"/>
  <c r="D10"/>
  <c r="E9"/>
  <c r="G9" s="1"/>
  <c r="D9"/>
  <c r="C14"/>
  <c r="C10"/>
  <c r="C9"/>
  <c r="G6"/>
  <c r="H6" s="1"/>
  <c r="B26"/>
  <c r="B13"/>
  <c r="L28" i="19"/>
  <c r="K40"/>
  <c r="D51"/>
  <c r="F43"/>
  <c r="G81" i="22"/>
  <c r="G80"/>
  <c r="G67"/>
  <c r="G68" s="1"/>
  <c r="G27"/>
  <c r="M11" i="57"/>
  <c r="E42" i="40" s="1"/>
  <c r="M10" i="57"/>
  <c r="E35" i="40" s="1"/>
  <c r="M6" i="57"/>
  <c r="M16" s="1"/>
  <c r="M5"/>
  <c r="E7" i="40" s="1"/>
  <c r="J12" i="8"/>
  <c r="E60"/>
  <c r="E51"/>
  <c r="E42"/>
  <c r="E23"/>
  <c r="E16"/>
  <c r="E15"/>
  <c r="G9" i="69"/>
  <c r="H62" i="11"/>
  <c r="J8" i="22"/>
  <c r="K8" s="1"/>
  <c r="E82"/>
  <c r="E76"/>
  <c r="E75"/>
  <c r="E74"/>
  <c r="E73"/>
  <c r="E72"/>
  <c r="E71"/>
  <c r="E68"/>
  <c r="E63"/>
  <c r="E62"/>
  <c r="E61"/>
  <c r="E60"/>
  <c r="E55"/>
  <c r="E54"/>
  <c r="E53"/>
  <c r="E52"/>
  <c r="E50"/>
  <c r="E49"/>
  <c r="E48"/>
  <c r="E47"/>
  <c r="E44"/>
  <c r="E43"/>
  <c r="E42"/>
  <c r="E41"/>
  <c r="E40"/>
  <c r="E38"/>
  <c r="E37"/>
  <c r="E36"/>
  <c r="E35"/>
  <c r="E34"/>
  <c r="E33"/>
  <c r="E32"/>
  <c r="E31"/>
  <c r="E30"/>
  <c r="E29"/>
  <c r="E25"/>
  <c r="E24"/>
  <c r="E23"/>
  <c r="E22"/>
  <c r="E21"/>
  <c r="E20"/>
  <c r="E19"/>
  <c r="E9"/>
  <c r="E51" i="29"/>
  <c r="E45"/>
  <c r="E55" s="1"/>
  <c r="E39"/>
  <c r="E53" s="1"/>
  <c r="H63" i="9"/>
  <c r="F63"/>
  <c r="E63"/>
  <c r="G63"/>
  <c r="E11" i="65"/>
  <c r="O103" i="19"/>
  <c r="O81"/>
  <c r="J20" i="10"/>
  <c r="K20" s="1"/>
  <c r="J21"/>
  <c r="K21" s="1"/>
  <c r="J22"/>
  <c r="K22" s="1"/>
  <c r="J23"/>
  <c r="K23" s="1"/>
  <c r="J19"/>
  <c r="K19" s="1"/>
  <c r="J26"/>
  <c r="K26" s="1"/>
  <c r="J27"/>
  <c r="K27" s="1"/>
  <c r="J11"/>
  <c r="J12"/>
  <c r="K12" s="1"/>
  <c r="J13"/>
  <c r="K13" s="1"/>
  <c r="H25" i="71"/>
  <c r="C25"/>
  <c r="C53"/>
  <c r="C13"/>
  <c r="G26"/>
  <c r="H26" s="1"/>
  <c r="C26"/>
  <c r="G30"/>
  <c r="H30" s="1"/>
  <c r="C37"/>
  <c r="H29"/>
  <c r="G21"/>
  <c r="H21" s="1"/>
  <c r="G17"/>
  <c r="H17" s="1"/>
  <c r="G12"/>
  <c r="H12" s="1"/>
  <c r="G11"/>
  <c r="H11" s="1"/>
  <c r="G14"/>
  <c r="H16"/>
  <c r="G19"/>
  <c r="G28"/>
  <c r="H28" s="1"/>
  <c r="H33"/>
  <c r="G34"/>
  <c r="H34" s="1"/>
  <c r="H22"/>
  <c r="K21" i="40"/>
  <c r="J22" i="19"/>
  <c r="J32"/>
  <c r="J51"/>
  <c r="J52"/>
  <c r="J57"/>
  <c r="J70"/>
  <c r="J81"/>
  <c r="J50" i="8"/>
  <c r="K50"/>
  <c r="J100" i="19"/>
  <c r="I97"/>
  <c r="D97"/>
  <c r="I74" i="40"/>
  <c r="I78" s="1"/>
  <c r="H68" i="72"/>
  <c r="H65"/>
  <c r="J65" s="1"/>
  <c r="K65" s="1"/>
  <c r="C100" i="19"/>
  <c r="K100"/>
  <c r="L100"/>
  <c r="M100"/>
  <c r="E17"/>
  <c r="C17" s="1"/>
  <c r="L17"/>
  <c r="M17"/>
  <c r="L18"/>
  <c r="M18"/>
  <c r="D19"/>
  <c r="N19" s="1"/>
  <c r="L20"/>
  <c r="D21"/>
  <c r="C21" s="1"/>
  <c r="C22"/>
  <c r="K22"/>
  <c r="L23"/>
  <c r="F24"/>
  <c r="N24" s="1"/>
  <c r="N25"/>
  <c r="E26"/>
  <c r="N26" s="1"/>
  <c r="E28"/>
  <c r="M28"/>
  <c r="N29"/>
  <c r="E30"/>
  <c r="F30"/>
  <c r="L30"/>
  <c r="M30"/>
  <c r="E31"/>
  <c r="F31"/>
  <c r="L31"/>
  <c r="M31"/>
  <c r="E32"/>
  <c r="F32"/>
  <c r="K32"/>
  <c r="M32"/>
  <c r="F33"/>
  <c r="C33" s="1"/>
  <c r="E34"/>
  <c r="F34"/>
  <c r="E35"/>
  <c r="F35"/>
  <c r="K35"/>
  <c r="L35"/>
  <c r="M35"/>
  <c r="L36"/>
  <c r="M36"/>
  <c r="E37"/>
  <c r="F37"/>
  <c r="E38"/>
  <c r="C38" s="1"/>
  <c r="D39"/>
  <c r="F39"/>
  <c r="L39"/>
  <c r="D40"/>
  <c r="E40"/>
  <c r="F40"/>
  <c r="L40"/>
  <c r="M40"/>
  <c r="F41"/>
  <c r="N41" s="1"/>
  <c r="L42"/>
  <c r="M42"/>
  <c r="E43"/>
  <c r="L43"/>
  <c r="M43"/>
  <c r="E44"/>
  <c r="N44" s="1"/>
  <c r="E45"/>
  <c r="C45" s="1"/>
  <c r="L45"/>
  <c r="M45"/>
  <c r="M46"/>
  <c r="N46" s="1"/>
  <c r="E47"/>
  <c r="N47" s="1"/>
  <c r="K49"/>
  <c r="N49" s="1"/>
  <c r="K50"/>
  <c r="N50" s="1"/>
  <c r="E51"/>
  <c r="F51"/>
  <c r="L51"/>
  <c r="M51"/>
  <c r="L52"/>
  <c r="M52"/>
  <c r="E53"/>
  <c r="C53" s="1"/>
  <c r="L53"/>
  <c r="M53"/>
  <c r="D55"/>
  <c r="F55"/>
  <c r="L55"/>
  <c r="M55"/>
  <c r="E56"/>
  <c r="F56"/>
  <c r="K56"/>
  <c r="L56"/>
  <c r="M56"/>
  <c r="E57"/>
  <c r="F57"/>
  <c r="M57"/>
  <c r="N62"/>
  <c r="N63"/>
  <c r="G64"/>
  <c r="G70" s="1"/>
  <c r="K66"/>
  <c r="N66" s="1"/>
  <c r="L67"/>
  <c r="N67" s="1"/>
  <c r="N65"/>
  <c r="M85"/>
  <c r="N85" s="1"/>
  <c r="L86"/>
  <c r="N86" s="1"/>
  <c r="N87"/>
  <c r="N81"/>
  <c r="K81"/>
  <c r="K88"/>
  <c r="J88"/>
  <c r="I88"/>
  <c r="H88"/>
  <c r="G88"/>
  <c r="F88"/>
  <c r="D88"/>
  <c r="E9" i="65"/>
  <c r="G39" i="29"/>
  <c r="G45"/>
  <c r="G51"/>
  <c r="J31" i="5"/>
  <c r="K31" s="1"/>
  <c r="J14"/>
  <c r="K14" s="1"/>
  <c r="J15"/>
  <c r="J22"/>
  <c r="K22" s="1"/>
  <c r="J42"/>
  <c r="K42" s="1"/>
  <c r="J33"/>
  <c r="K33" s="1"/>
  <c r="J40"/>
  <c r="K40" s="1"/>
  <c r="J26"/>
  <c r="K26" s="1"/>
  <c r="J25"/>
  <c r="K25" s="1"/>
  <c r="J28"/>
  <c r="K28" s="1"/>
  <c r="J16"/>
  <c r="K16" s="1"/>
  <c r="J34"/>
  <c r="K34" s="1"/>
  <c r="J17"/>
  <c r="K17" s="1"/>
  <c r="J38"/>
  <c r="K38" s="1"/>
  <c r="J30"/>
  <c r="K30" s="1"/>
  <c r="J29"/>
  <c r="K29" s="1"/>
  <c r="J32"/>
  <c r="K32" s="1"/>
  <c r="J35"/>
  <c r="K35" s="1"/>
  <c r="J43"/>
  <c r="K43" s="1"/>
  <c r="J13"/>
  <c r="K13" s="1"/>
  <c r="J27"/>
  <c r="K27" s="1"/>
  <c r="J12"/>
  <c r="K12" s="1"/>
  <c r="J39"/>
  <c r="K39" s="1"/>
  <c r="J37"/>
  <c r="K37" s="1"/>
  <c r="J24"/>
  <c r="K24" s="1"/>
  <c r="J18"/>
  <c r="K18" s="1"/>
  <c r="J36"/>
  <c r="K36" s="1"/>
  <c r="J19"/>
  <c r="K19" s="1"/>
  <c r="J52"/>
  <c r="K52" s="1"/>
  <c r="J58"/>
  <c r="K58" s="1"/>
  <c r="H53"/>
  <c r="H59" i="22" s="1"/>
  <c r="G46" i="5"/>
  <c r="G53"/>
  <c r="G64"/>
  <c r="F46"/>
  <c r="F53"/>
  <c r="F59" i="22" s="1"/>
  <c r="F64" i="5"/>
  <c r="E46"/>
  <c r="E53"/>
  <c r="E59" i="22" s="1"/>
  <c r="E64" i="5"/>
  <c r="K5" i="57"/>
  <c r="P5"/>
  <c r="E8" i="40" s="1"/>
  <c r="Y3" i="57"/>
  <c r="O3"/>
  <c r="I75" i="40"/>
  <c r="I76"/>
  <c r="J76" s="1"/>
  <c r="O76" s="1"/>
  <c r="I77"/>
  <c r="J23" i="29"/>
  <c r="J39" s="1"/>
  <c r="J42"/>
  <c r="K42" s="1"/>
  <c r="J43"/>
  <c r="K43" s="1"/>
  <c r="J44"/>
  <c r="K44" s="1"/>
  <c r="J48"/>
  <c r="J49"/>
  <c r="J50"/>
  <c r="H39"/>
  <c r="H45"/>
  <c r="H55" s="1"/>
  <c r="H51"/>
  <c r="G55"/>
  <c r="F39"/>
  <c r="F45"/>
  <c r="F55"/>
  <c r="F51"/>
  <c r="H75" i="40"/>
  <c r="H76"/>
  <c r="H77"/>
  <c r="J23" i="6"/>
  <c r="K23" s="1"/>
  <c r="J19"/>
  <c r="J25"/>
  <c r="K25" s="1"/>
  <c r="J24"/>
  <c r="K24" s="1"/>
  <c r="J26"/>
  <c r="K26" s="1"/>
  <c r="J32"/>
  <c r="K32" s="1"/>
  <c r="J34"/>
  <c r="K34" s="1"/>
  <c r="J28"/>
  <c r="K28" s="1"/>
  <c r="J20"/>
  <c r="K20" s="1"/>
  <c r="J29"/>
  <c r="K29" s="1"/>
  <c r="J27"/>
  <c r="K27" s="1"/>
  <c r="J30"/>
  <c r="K30" s="1"/>
  <c r="J18"/>
  <c r="K18" s="1"/>
  <c r="J21"/>
  <c r="K21" s="1"/>
  <c r="J31"/>
  <c r="K31" s="1"/>
  <c r="J22"/>
  <c r="K22" s="1"/>
  <c r="J33"/>
  <c r="K33" s="1"/>
  <c r="J38"/>
  <c r="J39"/>
  <c r="J40"/>
  <c r="J41"/>
  <c r="J51"/>
  <c r="K51" s="1"/>
  <c r="J52"/>
  <c r="K52" s="1"/>
  <c r="J53"/>
  <c r="K53" s="1"/>
  <c r="H35"/>
  <c r="H54"/>
  <c r="G15"/>
  <c r="G35"/>
  <c r="G42"/>
  <c r="G54"/>
  <c r="G46"/>
  <c r="G58" s="1"/>
  <c r="F15"/>
  <c r="F35"/>
  <c r="F42"/>
  <c r="F54"/>
  <c r="F46"/>
  <c r="E35"/>
  <c r="E15"/>
  <c r="E42"/>
  <c r="E46"/>
  <c r="E58" s="1"/>
  <c r="J59" i="22"/>
  <c r="K59" s="1"/>
  <c r="H60"/>
  <c r="J60" s="1"/>
  <c r="H61"/>
  <c r="J61" s="1"/>
  <c r="K61" s="1"/>
  <c r="H62"/>
  <c r="J62" s="1"/>
  <c r="K62" s="1"/>
  <c r="H63"/>
  <c r="J63"/>
  <c r="K63" s="1"/>
  <c r="J26"/>
  <c r="K26" s="1"/>
  <c r="H27"/>
  <c r="J27" s="1"/>
  <c r="K27" s="1"/>
  <c r="J28"/>
  <c r="K28" s="1"/>
  <c r="H29"/>
  <c r="J29" s="1"/>
  <c r="K29" s="1"/>
  <c r="H30"/>
  <c r="J30" s="1"/>
  <c r="K30" s="1"/>
  <c r="H31"/>
  <c r="J31" s="1"/>
  <c r="K31" s="1"/>
  <c r="H32"/>
  <c r="J32" s="1"/>
  <c r="K32" s="1"/>
  <c r="H33"/>
  <c r="J33" s="1"/>
  <c r="K33" s="1"/>
  <c r="H34"/>
  <c r="J34" s="1"/>
  <c r="K34" s="1"/>
  <c r="H35"/>
  <c r="J35" s="1"/>
  <c r="K35" s="1"/>
  <c r="H36"/>
  <c r="J36" s="1"/>
  <c r="K36" s="1"/>
  <c r="H37"/>
  <c r="J37" s="1"/>
  <c r="K37" s="1"/>
  <c r="H38"/>
  <c r="J38" s="1"/>
  <c r="K38" s="1"/>
  <c r="H40"/>
  <c r="J40" s="1"/>
  <c r="K40" s="1"/>
  <c r="H41"/>
  <c r="J41" s="1"/>
  <c r="K41" s="1"/>
  <c r="H42"/>
  <c r="J42" s="1"/>
  <c r="K42" s="1"/>
  <c r="H43"/>
  <c r="J43" s="1"/>
  <c r="K43" s="1"/>
  <c r="H44"/>
  <c r="J44" s="1"/>
  <c r="K44" s="1"/>
  <c r="H47"/>
  <c r="J47" s="1"/>
  <c r="K47" s="1"/>
  <c r="H48"/>
  <c r="J48" s="1"/>
  <c r="K48" s="1"/>
  <c r="H49"/>
  <c r="J49" s="1"/>
  <c r="K49" s="1"/>
  <c r="H52"/>
  <c r="J52" s="1"/>
  <c r="K52" s="1"/>
  <c r="H53"/>
  <c r="J53" s="1"/>
  <c r="K53" s="1"/>
  <c r="H54"/>
  <c r="J54" s="1"/>
  <c r="K54" s="1"/>
  <c r="H55"/>
  <c r="J55" s="1"/>
  <c r="K55" s="1"/>
  <c r="H20"/>
  <c r="J20" s="1"/>
  <c r="K20" s="1"/>
  <c r="H21"/>
  <c r="J21" s="1"/>
  <c r="K21" s="1"/>
  <c r="H22"/>
  <c r="J22" s="1"/>
  <c r="K22" s="1"/>
  <c r="H23"/>
  <c r="J23" s="1"/>
  <c r="K23" s="1"/>
  <c r="J24"/>
  <c r="K24" s="1"/>
  <c r="H25"/>
  <c r="J25" s="1"/>
  <c r="K25" s="1"/>
  <c r="H71"/>
  <c r="J71" s="1"/>
  <c r="K71" s="1"/>
  <c r="H72"/>
  <c r="J72" s="1"/>
  <c r="K72" s="1"/>
  <c r="H73"/>
  <c r="J73" s="1"/>
  <c r="K73" s="1"/>
  <c r="H74"/>
  <c r="J74" s="1"/>
  <c r="K74" s="1"/>
  <c r="H75"/>
  <c r="J75" s="1"/>
  <c r="K75" s="1"/>
  <c r="H76"/>
  <c r="J76" s="1"/>
  <c r="K76"/>
  <c r="H84"/>
  <c r="J84"/>
  <c r="K84" s="1"/>
  <c r="F75" i="40"/>
  <c r="F76"/>
  <c r="F77"/>
  <c r="J80" i="22"/>
  <c r="K80" s="1"/>
  <c r="G22" i="16"/>
  <c r="E22" s="1"/>
  <c r="G26"/>
  <c r="G27"/>
  <c r="G28"/>
  <c r="G29"/>
  <c r="E29" s="1"/>
  <c r="G30"/>
  <c r="G31"/>
  <c r="H31"/>
  <c r="G32"/>
  <c r="G34"/>
  <c r="G35"/>
  <c r="G36"/>
  <c r="G37"/>
  <c r="E37" s="1"/>
  <c r="G38"/>
  <c r="G39"/>
  <c r="G40"/>
  <c r="E40" s="1"/>
  <c r="G42"/>
  <c r="E42" s="1"/>
  <c r="G43"/>
  <c r="E43" s="1"/>
  <c r="G44"/>
  <c r="E44" s="1"/>
  <c r="G45"/>
  <c r="E45" s="1"/>
  <c r="G47"/>
  <c r="G48"/>
  <c r="E48" s="1"/>
  <c r="G49"/>
  <c r="E49" s="1"/>
  <c r="G50"/>
  <c r="E50" s="1"/>
  <c r="G51"/>
  <c r="G52"/>
  <c r="G53"/>
  <c r="G57"/>
  <c r="G63" s="1"/>
  <c r="I26"/>
  <c r="I54" s="1"/>
  <c r="I72"/>
  <c r="E72" s="1"/>
  <c r="I67"/>
  <c r="H67" s="1"/>
  <c r="I68"/>
  <c r="H68" s="1"/>
  <c r="E68" s="1"/>
  <c r="I69"/>
  <c r="I70"/>
  <c r="H70" s="1"/>
  <c r="E70" s="1"/>
  <c r="I71"/>
  <c r="H71"/>
  <c r="E71" s="1"/>
  <c r="I63"/>
  <c r="H27"/>
  <c r="H26"/>
  <c r="H28"/>
  <c r="H30"/>
  <c r="H32"/>
  <c r="H33"/>
  <c r="E33" s="1"/>
  <c r="H34"/>
  <c r="H35"/>
  <c r="H36"/>
  <c r="H38"/>
  <c r="H39"/>
  <c r="H41"/>
  <c r="E41" s="1"/>
  <c r="H47"/>
  <c r="H51"/>
  <c r="H52"/>
  <c r="H53"/>
  <c r="H59"/>
  <c r="H63" s="1"/>
  <c r="H66"/>
  <c r="H69"/>
  <c r="E69" s="1"/>
  <c r="F23"/>
  <c r="E23" s="1"/>
  <c r="F24"/>
  <c r="E24" s="1"/>
  <c r="F25"/>
  <c r="E25" s="1"/>
  <c r="F26"/>
  <c r="F28"/>
  <c r="F38"/>
  <c r="F39"/>
  <c r="F47"/>
  <c r="F51"/>
  <c r="F63"/>
  <c r="F79"/>
  <c r="F73"/>
  <c r="F68" i="22"/>
  <c r="H29" i="3"/>
  <c r="G75" i="40"/>
  <c r="K75"/>
  <c r="L75"/>
  <c r="M75"/>
  <c r="N75"/>
  <c r="G76"/>
  <c r="K76"/>
  <c r="L76"/>
  <c r="M76"/>
  <c r="N76"/>
  <c r="G77"/>
  <c r="K77"/>
  <c r="L77"/>
  <c r="M77"/>
  <c r="N77"/>
  <c r="H44" i="72"/>
  <c r="H45" s="1"/>
  <c r="H42" i="8"/>
  <c r="H60"/>
  <c r="H15"/>
  <c r="H69" i="11"/>
  <c r="H74"/>
  <c r="H92"/>
  <c r="H78" i="12"/>
  <c r="H96"/>
  <c r="H15" i="9"/>
  <c r="H46"/>
  <c r="J39" i="12"/>
  <c r="K39" s="1"/>
  <c r="J47"/>
  <c r="K47" s="1"/>
  <c r="J33"/>
  <c r="K33" s="1"/>
  <c r="J40"/>
  <c r="K40" s="1"/>
  <c r="J48"/>
  <c r="K48" s="1"/>
  <c r="J41"/>
  <c r="K41" s="1"/>
  <c r="J42"/>
  <c r="K42" s="1"/>
  <c r="J45"/>
  <c r="K45" s="1"/>
  <c r="J43"/>
  <c r="K43" s="1"/>
  <c r="J49"/>
  <c r="K49" s="1"/>
  <c r="J50"/>
  <c r="K50" s="1"/>
  <c r="J44"/>
  <c r="K44" s="1"/>
  <c r="J46"/>
  <c r="K46" s="1"/>
  <c r="J52"/>
  <c r="K52" s="1"/>
  <c r="J53"/>
  <c r="K53" s="1"/>
  <c r="J35"/>
  <c r="K35" s="1"/>
  <c r="J51"/>
  <c r="K51" s="1"/>
  <c r="J34"/>
  <c r="K34" s="1"/>
  <c r="J36"/>
  <c r="K36" s="1"/>
  <c r="J55"/>
  <c r="K55"/>
  <c r="J37"/>
  <c r="K37"/>
  <c r="J54"/>
  <c r="K54" s="1"/>
  <c r="J38"/>
  <c r="K38" s="1"/>
  <c r="J64"/>
  <c r="K64" s="1"/>
  <c r="J65"/>
  <c r="K65" s="1"/>
  <c r="J66"/>
  <c r="K66" s="1"/>
  <c r="J67"/>
  <c r="K67" s="1"/>
  <c r="J68"/>
  <c r="K68" s="1"/>
  <c r="J74"/>
  <c r="K74" s="1"/>
  <c r="J75"/>
  <c r="K75"/>
  <c r="K76"/>
  <c r="J77"/>
  <c r="K77" s="1"/>
  <c r="J90"/>
  <c r="K90" s="1"/>
  <c r="J91"/>
  <c r="K91" s="1"/>
  <c r="J92"/>
  <c r="K92" s="1"/>
  <c r="J93"/>
  <c r="K93"/>
  <c r="J94"/>
  <c r="K94" s="1"/>
  <c r="J95"/>
  <c r="K95" s="1"/>
  <c r="J98"/>
  <c r="K98"/>
  <c r="G57"/>
  <c r="G30"/>
  <c r="G78"/>
  <c r="G96"/>
  <c r="F57"/>
  <c r="F30"/>
  <c r="F78"/>
  <c r="F96"/>
  <c r="E57"/>
  <c r="E30"/>
  <c r="E78"/>
  <c r="E96"/>
  <c r="F10" i="8"/>
  <c r="F15" s="1"/>
  <c r="F23"/>
  <c r="F42"/>
  <c r="G15"/>
  <c r="G23"/>
  <c r="G42"/>
  <c r="F60"/>
  <c r="G60"/>
  <c r="J31"/>
  <c r="J28"/>
  <c r="K28" s="1"/>
  <c r="J32"/>
  <c r="J26"/>
  <c r="K26" s="1"/>
  <c r="J27"/>
  <c r="J29"/>
  <c r="J39"/>
  <c r="J40"/>
  <c r="J41"/>
  <c r="J56"/>
  <c r="K56" s="1"/>
  <c r="J57"/>
  <c r="J58"/>
  <c r="K58" s="1"/>
  <c r="J59"/>
  <c r="J62"/>
  <c r="J67" i="5"/>
  <c r="J68"/>
  <c r="J68" i="72"/>
  <c r="K68" s="1"/>
  <c r="J72"/>
  <c r="K72" s="1"/>
  <c r="J12" i="7"/>
  <c r="K12" s="1"/>
  <c r="J20"/>
  <c r="K20" s="1"/>
  <c r="J44"/>
  <c r="K44" s="1"/>
  <c r="J43"/>
  <c r="K43" s="1"/>
  <c r="J45"/>
  <c r="K45" s="1"/>
  <c r="J25"/>
  <c r="J26"/>
  <c r="K26" s="1"/>
  <c r="J27"/>
  <c r="K27" s="1"/>
  <c r="J28"/>
  <c r="K28" s="1"/>
  <c r="J29"/>
  <c r="K29" s="1"/>
  <c r="J33"/>
  <c r="J34"/>
  <c r="K34" s="1"/>
  <c r="J35"/>
  <c r="K35" s="1"/>
  <c r="H30"/>
  <c r="E46"/>
  <c r="E15" i="9"/>
  <c r="E22"/>
  <c r="E46"/>
  <c r="F10"/>
  <c r="F22"/>
  <c r="F46"/>
  <c r="G15"/>
  <c r="G22"/>
  <c r="G42"/>
  <c r="G46"/>
  <c r="J59"/>
  <c r="J10"/>
  <c r="J11"/>
  <c r="J12"/>
  <c r="K12" s="1"/>
  <c r="J13"/>
  <c r="K13"/>
  <c r="J14"/>
  <c r="K14" s="1"/>
  <c r="J31"/>
  <c r="K31" s="1"/>
  <c r="J27"/>
  <c r="K27" s="1"/>
  <c r="J32"/>
  <c r="K32" s="1"/>
  <c r="J29"/>
  <c r="K29" s="1"/>
  <c r="J33"/>
  <c r="K33"/>
  <c r="J35"/>
  <c r="K35" s="1"/>
  <c r="J38"/>
  <c r="K38" s="1"/>
  <c r="J37"/>
  <c r="K37"/>
  <c r="J34"/>
  <c r="K34" s="1"/>
  <c r="J25"/>
  <c r="K25" s="1"/>
  <c r="J40"/>
  <c r="K40" s="1"/>
  <c r="J26"/>
  <c r="K26" s="1"/>
  <c r="J28"/>
  <c r="K28" s="1"/>
  <c r="J36"/>
  <c r="K36" s="1"/>
  <c r="J39"/>
  <c r="K39"/>
  <c r="J41"/>
  <c r="K41" s="1"/>
  <c r="J45"/>
  <c r="J46" s="1"/>
  <c r="K45"/>
  <c r="K46" s="1"/>
  <c r="J65"/>
  <c r="K65"/>
  <c r="J37" i="11"/>
  <c r="K37" s="1"/>
  <c r="J44"/>
  <c r="K44" s="1"/>
  <c r="J31"/>
  <c r="K31" s="1"/>
  <c r="J38"/>
  <c r="K38" s="1"/>
  <c r="J45"/>
  <c r="K45" s="1"/>
  <c r="J40"/>
  <c r="K40" s="1"/>
  <c r="J41"/>
  <c r="K41" s="1"/>
  <c r="J42"/>
  <c r="K42" s="1"/>
  <c r="J39"/>
  <c r="K39" s="1"/>
  <c r="J46"/>
  <c r="K46" s="1"/>
  <c r="J47"/>
  <c r="K47" s="1"/>
  <c r="J49"/>
  <c r="K49" s="1"/>
  <c r="J43"/>
  <c r="K43" s="1"/>
  <c r="J50"/>
  <c r="K50" s="1"/>
  <c r="J51"/>
  <c r="K51" s="1"/>
  <c r="J33"/>
  <c r="K33" s="1"/>
  <c r="J48"/>
  <c r="K48" s="1"/>
  <c r="J32"/>
  <c r="K32" s="1"/>
  <c r="J34"/>
  <c r="K34" s="1"/>
  <c r="J53"/>
  <c r="K53" s="1"/>
  <c r="J35"/>
  <c r="K35" s="1"/>
  <c r="J52"/>
  <c r="K52" s="1"/>
  <c r="J36"/>
  <c r="K36" s="1"/>
  <c r="J65"/>
  <c r="K65"/>
  <c r="J66"/>
  <c r="K66" s="1"/>
  <c r="J67"/>
  <c r="K67" s="1"/>
  <c r="J68"/>
  <c r="K68" s="1"/>
  <c r="J72"/>
  <c r="J74" s="1"/>
  <c r="J73"/>
  <c r="J81"/>
  <c r="K81" s="1"/>
  <c r="F82"/>
  <c r="E82"/>
  <c r="J49" i="8"/>
  <c r="K49" s="1"/>
  <c r="G51"/>
  <c r="F51"/>
  <c r="K53" i="9"/>
  <c r="F56"/>
  <c r="E56"/>
  <c r="K41" i="6"/>
  <c r="K40"/>
  <c r="K39"/>
  <c r="K38"/>
  <c r="K50" i="29"/>
  <c r="K49"/>
  <c r="K26"/>
  <c r="K25"/>
  <c r="K24"/>
  <c r="K23"/>
  <c r="G71" i="22"/>
  <c r="G60"/>
  <c r="G84"/>
  <c r="H45" i="10"/>
  <c r="H47" s="1"/>
  <c r="G18" i="16"/>
  <c r="E83"/>
  <c r="E44" i="72"/>
  <c r="E15" i="3"/>
  <c r="E29"/>
  <c r="E69" i="5"/>
  <c r="H69"/>
  <c r="G15" i="3"/>
  <c r="G29"/>
  <c r="G69" i="5"/>
  <c r="G44" i="72"/>
  <c r="G45" s="1"/>
  <c r="F15" i="3"/>
  <c r="F29"/>
  <c r="F69" i="5"/>
  <c r="G60" i="72"/>
  <c r="F60"/>
  <c r="E60"/>
  <c r="J10"/>
  <c r="K10" s="1"/>
  <c r="J11"/>
  <c r="K11" s="1"/>
  <c r="J12"/>
  <c r="K12" s="1"/>
  <c r="J13"/>
  <c r="K13" s="1"/>
  <c r="J14"/>
  <c r="K14" s="1"/>
  <c r="J15"/>
  <c r="K15" s="1"/>
  <c r="J16"/>
  <c r="K16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8"/>
  <c r="K28" s="1"/>
  <c r="J29"/>
  <c r="K29" s="1"/>
  <c r="J30"/>
  <c r="K30" s="1"/>
  <c r="J31"/>
  <c r="K31" s="1"/>
  <c r="J34"/>
  <c r="K34" s="1"/>
  <c r="J35"/>
  <c r="K35" s="1"/>
  <c r="J36"/>
  <c r="K36" s="1"/>
  <c r="J37"/>
  <c r="K37" s="1"/>
  <c r="J43"/>
  <c r="K43" s="1"/>
  <c r="E45"/>
  <c r="E75" i="40"/>
  <c r="E76"/>
  <c r="E77"/>
  <c r="J15" i="11"/>
  <c r="K15" s="1"/>
  <c r="J62" i="9"/>
  <c r="K62" s="1"/>
  <c r="J61"/>
  <c r="K61" s="1"/>
  <c r="J60"/>
  <c r="K60" s="1"/>
  <c r="K59"/>
  <c r="G30" i="7"/>
  <c r="G38" s="1"/>
  <c r="F30"/>
  <c r="E30"/>
  <c r="E21"/>
  <c r="H16" i="8"/>
  <c r="K31"/>
  <c r="K32"/>
  <c r="K27"/>
  <c r="K29"/>
  <c r="K39"/>
  <c r="K40"/>
  <c r="K41"/>
  <c r="K57"/>
  <c r="K59"/>
  <c r="K62"/>
  <c r="J10"/>
  <c r="K10"/>
  <c r="J11"/>
  <c r="K11" s="1"/>
  <c r="J13"/>
  <c r="K13" s="1"/>
  <c r="J14"/>
  <c r="K14" s="1"/>
  <c r="J8" i="10"/>
  <c r="K8" s="1"/>
  <c r="J40"/>
  <c r="J41"/>
  <c r="K41" s="1"/>
  <c r="J42"/>
  <c r="K42" s="1"/>
  <c r="J43"/>
  <c r="K43" s="1"/>
  <c r="J44"/>
  <c r="K44" s="1"/>
  <c r="G45"/>
  <c r="G47" s="1"/>
  <c r="F45"/>
  <c r="F47" s="1"/>
  <c r="F28"/>
  <c r="J49"/>
  <c r="K49"/>
  <c r="J15"/>
  <c r="K15" s="1"/>
  <c r="J14"/>
  <c r="K14" s="1"/>
  <c r="E28"/>
  <c r="B38" i="71" s="1"/>
  <c r="E45" i="10"/>
  <c r="E47" s="1"/>
  <c r="G21" i="11"/>
  <c r="G22" s="1"/>
  <c r="G69"/>
  <c r="G28"/>
  <c r="G55"/>
  <c r="G74"/>
  <c r="G92"/>
  <c r="F69"/>
  <c r="F74"/>
  <c r="F28"/>
  <c r="F92"/>
  <c r="E21"/>
  <c r="E69"/>
  <c r="E74"/>
  <c r="E55"/>
  <c r="E28"/>
  <c r="E92"/>
  <c r="J89"/>
  <c r="K89" s="1"/>
  <c r="J88"/>
  <c r="K88" s="1"/>
  <c r="J90"/>
  <c r="K90" s="1"/>
  <c r="J91"/>
  <c r="K91" s="1"/>
  <c r="J94"/>
  <c r="K94" s="1"/>
  <c r="J10"/>
  <c r="K10" s="1"/>
  <c r="J16"/>
  <c r="K16"/>
  <c r="J12"/>
  <c r="K12" s="1"/>
  <c r="J13"/>
  <c r="K13"/>
  <c r="J14"/>
  <c r="K14" s="1"/>
  <c r="J11"/>
  <c r="K11" s="1"/>
  <c r="J18"/>
  <c r="K18" s="1"/>
  <c r="J17"/>
  <c r="K17" s="1"/>
  <c r="J19"/>
  <c r="K19" s="1"/>
  <c r="J20"/>
  <c r="K20" s="1"/>
  <c r="J87"/>
  <c r="K87"/>
  <c r="J16" i="12"/>
  <c r="K16" s="1"/>
  <c r="J17"/>
  <c r="K17" s="1"/>
  <c r="J13"/>
  <c r="K13"/>
  <c r="J11"/>
  <c r="K11" s="1"/>
  <c r="J14"/>
  <c r="K14"/>
  <c r="J12"/>
  <c r="K12" s="1"/>
  <c r="J15"/>
  <c r="K15" s="1"/>
  <c r="J10"/>
  <c r="K10" s="1"/>
  <c r="E10" i="69"/>
  <c r="K69" i="5"/>
  <c r="G76" i="22"/>
  <c r="G73"/>
  <c r="G72"/>
  <c r="G74"/>
  <c r="G75"/>
  <c r="F73"/>
  <c r="F71"/>
  <c r="F72"/>
  <c r="F74"/>
  <c r="F75"/>
  <c r="F76"/>
  <c r="J21" i="3"/>
  <c r="K21" s="1"/>
  <c r="K18"/>
  <c r="J18"/>
  <c r="J20"/>
  <c r="K20" s="1"/>
  <c r="J27"/>
  <c r="K27" s="1"/>
  <c r="J25"/>
  <c r="K25" s="1"/>
  <c r="J24"/>
  <c r="K24" s="1"/>
  <c r="J23"/>
  <c r="K23" s="1"/>
  <c r="J19"/>
  <c r="K19" s="1"/>
  <c r="J22"/>
  <c r="G42" i="22"/>
  <c r="F42"/>
  <c r="G22"/>
  <c r="F22"/>
  <c r="G21"/>
  <c r="F21"/>
  <c r="E5" i="65"/>
  <c r="M19" i="37"/>
  <c r="F10" i="12"/>
  <c r="F22" s="1"/>
  <c r="E22"/>
  <c r="G22"/>
  <c r="J8"/>
  <c r="K8" s="1"/>
  <c r="J8" i="11"/>
  <c r="J62" s="1"/>
  <c r="J8" i="9"/>
  <c r="K8" s="1"/>
  <c r="J8" i="8"/>
  <c r="K8" s="1"/>
  <c r="J8" i="7"/>
  <c r="K8" s="1"/>
  <c r="J8" i="29"/>
  <c r="K8" s="1"/>
  <c r="J8" i="3"/>
  <c r="K8" s="1"/>
  <c r="J8" i="5"/>
  <c r="K8" s="1"/>
  <c r="J8" i="6"/>
  <c r="K8" s="1"/>
  <c r="L19" i="37"/>
  <c r="I63" i="8"/>
  <c r="C23" i="19"/>
  <c r="C36"/>
  <c r="C42"/>
  <c r="C46"/>
  <c r="C49"/>
  <c r="C50"/>
  <c r="C52"/>
  <c r="G103"/>
  <c r="C63"/>
  <c r="F81"/>
  <c r="M81"/>
  <c r="H81"/>
  <c r="I81"/>
  <c r="D81"/>
  <c r="C62"/>
  <c r="C65"/>
  <c r="C66"/>
  <c r="C67"/>
  <c r="C68"/>
  <c r="C69"/>
  <c r="D70"/>
  <c r="D103"/>
  <c r="F16" i="8"/>
  <c r="G16"/>
  <c r="E65" i="10"/>
  <c r="E67" s="1"/>
  <c r="F82" i="5"/>
  <c r="G82"/>
  <c r="H82"/>
  <c r="E82"/>
  <c r="G13" i="29"/>
  <c r="K8" i="57"/>
  <c r="W8" s="1"/>
  <c r="P8"/>
  <c r="G16" i="9"/>
  <c r="F16"/>
  <c r="E16"/>
  <c r="G19" i="37"/>
  <c r="J11"/>
  <c r="J19"/>
  <c r="I3"/>
  <c r="I4" i="60"/>
  <c r="F19" i="22"/>
  <c r="G19"/>
  <c r="F20"/>
  <c r="G20"/>
  <c r="F23"/>
  <c r="G23"/>
  <c r="F24"/>
  <c r="G24"/>
  <c r="F25"/>
  <c r="G25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40"/>
  <c r="G40"/>
  <c r="F41"/>
  <c r="G41"/>
  <c r="F43"/>
  <c r="G43"/>
  <c r="F44"/>
  <c r="G44"/>
  <c r="F47"/>
  <c r="G47"/>
  <c r="F48"/>
  <c r="G48"/>
  <c r="F49"/>
  <c r="G49"/>
  <c r="F50"/>
  <c r="G50"/>
  <c r="F52"/>
  <c r="G52"/>
  <c r="F53"/>
  <c r="G53"/>
  <c r="F54"/>
  <c r="G54"/>
  <c r="F55"/>
  <c r="G55"/>
  <c r="E54" i="6"/>
  <c r="G29" i="60"/>
  <c r="G3" s="1"/>
  <c r="F29"/>
  <c r="F3" s="1"/>
  <c r="E29"/>
  <c r="E3" s="1"/>
  <c r="D29"/>
  <c r="D3" s="1"/>
  <c r="H21"/>
  <c r="H4" s="1"/>
  <c r="G21"/>
  <c r="F21"/>
  <c r="E21"/>
  <c r="G8" i="57"/>
  <c r="M3"/>
  <c r="G5"/>
  <c r="U8"/>
  <c r="T8"/>
  <c r="R62" i="40"/>
  <c r="I17" i="37"/>
  <c r="I15"/>
  <c r="H11"/>
  <c r="H19" s="1"/>
  <c r="I9"/>
  <c r="I7"/>
  <c r="D19"/>
  <c r="E5"/>
  <c r="E19" s="1"/>
  <c r="C19"/>
  <c r="H1"/>
  <c r="I1" s="1"/>
  <c r="J1" s="1"/>
  <c r="K1" s="1"/>
  <c r="D25"/>
  <c r="F60" i="22"/>
  <c r="F61"/>
  <c r="G61"/>
  <c r="F62"/>
  <c r="G62"/>
  <c r="F63"/>
  <c r="G63"/>
  <c r="Q46" i="40"/>
  <c r="Q39"/>
  <c r="Q32"/>
  <c r="Q33" s="1"/>
  <c r="Q18"/>
  <c r="Q11"/>
  <c r="Q4"/>
  <c r="F13" i="29"/>
  <c r="Q14" i="22"/>
  <c r="Q15"/>
  <c r="C7" i="19"/>
  <c r="C8"/>
  <c r="H58"/>
  <c r="N69"/>
  <c r="H70"/>
  <c r="I70"/>
  <c r="E103"/>
  <c r="F103"/>
  <c r="O25" i="40"/>
  <c r="F5" i="37"/>
  <c r="F19" s="1"/>
  <c r="U5" i="57"/>
  <c r="V5"/>
  <c r="X5"/>
  <c r="G9" i="22"/>
  <c r="W5" i="57"/>
  <c r="V8"/>
  <c r="K19" i="37"/>
  <c r="F9" i="22"/>
  <c r="M13"/>
  <c r="M12"/>
  <c r="P12" s="1"/>
  <c r="Q12" s="1"/>
  <c r="F70" i="19"/>
  <c r="C79"/>
  <c r="G81"/>
  <c r="C77"/>
  <c r="L81"/>
  <c r="E81"/>
  <c r="C73"/>
  <c r="H19" i="71"/>
  <c r="H14"/>
  <c r="H9"/>
  <c r="N19" i="37"/>
  <c r="J48" i="8"/>
  <c r="J51" s="1"/>
  <c r="K11" i="10"/>
  <c r="E11" i="69"/>
  <c r="K33" i="7"/>
  <c r="K25"/>
  <c r="J42"/>
  <c r="K42" s="1"/>
  <c r="H21" i="11"/>
  <c r="H22" s="1"/>
  <c r="K73"/>
  <c r="F55"/>
  <c r="F84" s="1"/>
  <c r="F15" i="9"/>
  <c r="G14" i="57"/>
  <c r="J59" i="5"/>
  <c r="K59" s="1"/>
  <c r="T14" i="57"/>
  <c r="V14"/>
  <c r="X14"/>
  <c r="U14"/>
  <c r="W14"/>
  <c r="J41" i="7"/>
  <c r="K41" s="1"/>
  <c r="G20" i="29"/>
  <c r="G52" i="72"/>
  <c r="G88" i="22"/>
  <c r="D8" i="71"/>
  <c r="C38"/>
  <c r="I78" i="16"/>
  <c r="I79" s="1"/>
  <c r="G92" i="19"/>
  <c r="G97" s="1"/>
  <c r="N36"/>
  <c r="T5" i="57"/>
  <c r="M49" i="40"/>
  <c r="H17" i="10"/>
  <c r="C34" i="19"/>
  <c r="H49" i="40"/>
  <c r="J13" i="29"/>
  <c r="I14" i="60"/>
  <c r="J19" i="7"/>
  <c r="K19" s="1"/>
  <c r="E13" i="65"/>
  <c r="J75" i="40"/>
  <c r="O75" s="1"/>
  <c r="G28" i="10"/>
  <c r="D38" i="71" s="1"/>
  <c r="M28" i="40"/>
  <c r="H91" i="19"/>
  <c r="N91" s="1"/>
  <c r="I19" i="37"/>
  <c r="O8" i="57"/>
  <c r="R8" s="1"/>
  <c r="O5"/>
  <c r="R5"/>
  <c r="O14"/>
  <c r="Y5"/>
  <c r="Y8"/>
  <c r="Y14"/>
  <c r="L88" i="19"/>
  <c r="G44" i="8"/>
  <c r="K8" i="11"/>
  <c r="K62" s="1"/>
  <c r="G37" i="71"/>
  <c r="K22" i="3"/>
  <c r="J83" i="12"/>
  <c r="H81" i="22"/>
  <c r="H82" s="1"/>
  <c r="G78" i="16"/>
  <c r="J67" i="72"/>
  <c r="K67" s="1"/>
  <c r="H10" i="71"/>
  <c r="J54" i="9"/>
  <c r="K54" s="1"/>
  <c r="K52"/>
  <c r="L49" i="40"/>
  <c r="G49"/>
  <c r="I49"/>
  <c r="N49"/>
  <c r="F49"/>
  <c r="J49" s="1"/>
  <c r="O49" s="1"/>
  <c r="L21"/>
  <c r="F21"/>
  <c r="G21"/>
  <c r="H21"/>
  <c r="I21"/>
  <c r="M21"/>
  <c r="N21"/>
  <c r="H82" i="11"/>
  <c r="L94" i="19" s="1"/>
  <c r="N94" s="1"/>
  <c r="K48" i="8"/>
  <c r="J78" i="11"/>
  <c r="K56" i="40"/>
  <c r="L28"/>
  <c r="K28"/>
  <c r="F28"/>
  <c r="G28"/>
  <c r="I28"/>
  <c r="N28"/>
  <c r="L74"/>
  <c r="L78" s="1"/>
  <c r="K74"/>
  <c r="K78" s="1"/>
  <c r="F74"/>
  <c r="G74"/>
  <c r="G78" s="1"/>
  <c r="M74"/>
  <c r="M78" s="1"/>
  <c r="E74"/>
  <c r="E78"/>
  <c r="E55"/>
  <c r="E6"/>
  <c r="M6" s="1"/>
  <c r="Z5" i="57"/>
  <c r="K78" i="11"/>
  <c r="K60" i="22"/>
  <c r="K83" i="12"/>
  <c r="J21" i="40"/>
  <c r="H55"/>
  <c r="I55"/>
  <c r="G55"/>
  <c r="L55"/>
  <c r="K55"/>
  <c r="M55"/>
  <c r="F55"/>
  <c r="N55"/>
  <c r="E52" i="72"/>
  <c r="B9" i="69"/>
  <c r="C9"/>
  <c r="D9" s="1"/>
  <c r="H17" i="7"/>
  <c r="J17" s="1"/>
  <c r="K17" s="1"/>
  <c r="G56" i="9"/>
  <c r="G82" i="11"/>
  <c r="O19" i="37"/>
  <c r="G73" i="5" l="1"/>
  <c r="F6" i="65"/>
  <c r="F18" s="1"/>
  <c r="E18"/>
  <c r="F13"/>
  <c r="F25" s="1"/>
  <c r="E25"/>
  <c r="F9"/>
  <c r="F21" s="1"/>
  <c r="E21"/>
  <c r="F11"/>
  <c r="F23" s="1"/>
  <c r="E23"/>
  <c r="E71" i="5"/>
  <c r="E74" s="1"/>
  <c r="E73" i="72"/>
  <c r="J28" i="40"/>
  <c r="O28" s="1"/>
  <c r="C40" i="19"/>
  <c r="N34"/>
  <c r="H6" i="40"/>
  <c r="O21"/>
  <c r="J55"/>
  <c r="O55" s="1"/>
  <c r="Z8" i="57"/>
  <c r="F78" i="40"/>
  <c r="J24" i="10"/>
  <c r="K24" s="1"/>
  <c r="H50" i="22"/>
  <c r="J50" s="1"/>
  <c r="K50" s="1"/>
  <c r="C41" i="19"/>
  <c r="L40" i="71"/>
  <c r="D55"/>
  <c r="K29"/>
  <c r="K40"/>
  <c r="L34"/>
  <c r="C55"/>
  <c r="L29"/>
  <c r="K39"/>
  <c r="J39"/>
  <c r="E44" i="8"/>
  <c r="G66"/>
  <c r="H36"/>
  <c r="P88" i="19"/>
  <c r="K72" i="11"/>
  <c r="L48" i="19"/>
  <c r="J54" i="11"/>
  <c r="K54" s="1"/>
  <c r="K34" i="71"/>
  <c r="J34"/>
  <c r="M48" i="19"/>
  <c r="J56" i="12"/>
  <c r="K56" s="1"/>
  <c r="D52" i="71"/>
  <c r="K41"/>
  <c r="H13"/>
  <c r="D49"/>
  <c r="K8"/>
  <c r="H37"/>
  <c r="K74" i="11"/>
  <c r="G71" i="5"/>
  <c r="G74" s="1"/>
  <c r="G59" i="22"/>
  <c r="D2" i="29"/>
  <c r="K45" i="6"/>
  <c r="K46" s="1"/>
  <c r="K58" s="1"/>
  <c r="J46"/>
  <c r="J58" s="1"/>
  <c r="F58"/>
  <c r="F81" i="22"/>
  <c r="F82" s="1"/>
  <c r="H46" i="6"/>
  <c r="C24" i="19"/>
  <c r="H66" i="72"/>
  <c r="J66" s="1"/>
  <c r="K66" s="1"/>
  <c r="E31" i="16"/>
  <c r="K54" i="6"/>
  <c r="J81" i="22"/>
  <c r="G53" i="29"/>
  <c r="G56" s="1"/>
  <c r="G61" s="1"/>
  <c r="F77" i="22"/>
  <c r="L39" i="71"/>
  <c r="F95" i="11"/>
  <c r="C52" i="71"/>
  <c r="L41"/>
  <c r="G55"/>
  <c r="J29"/>
  <c r="G41"/>
  <c r="K36" i="7"/>
  <c r="K36" i="8"/>
  <c r="J36"/>
  <c r="K69" i="11"/>
  <c r="J63" i="9"/>
  <c r="G82" i="22"/>
  <c r="J69" i="5"/>
  <c r="J45" i="29"/>
  <c r="J55" s="1"/>
  <c r="E48" i="9"/>
  <c r="E66" s="1"/>
  <c r="E69" s="1"/>
  <c r="J56"/>
  <c r="H63" i="72"/>
  <c r="G76" i="16"/>
  <c r="E76" s="1"/>
  <c r="H64" i="72"/>
  <c r="G77" i="16"/>
  <c r="E77" s="1"/>
  <c r="K53" i="5"/>
  <c r="J71" i="12"/>
  <c r="N37" i="19"/>
  <c r="I73" i="16"/>
  <c r="E59"/>
  <c r="H54"/>
  <c r="E38"/>
  <c r="E32"/>
  <c r="K42" i="8"/>
  <c r="M70" i="19"/>
  <c r="H97"/>
  <c r="C64"/>
  <c r="C25"/>
  <c r="C32"/>
  <c r="C30"/>
  <c r="C54"/>
  <c r="C35"/>
  <c r="N23"/>
  <c r="C44"/>
  <c r="C29"/>
  <c r="C55"/>
  <c r="N17"/>
  <c r="C19"/>
  <c r="K70"/>
  <c r="C81"/>
  <c r="N20"/>
  <c r="N42"/>
  <c r="N35"/>
  <c r="N18"/>
  <c r="K71" i="12"/>
  <c r="N52" i="19"/>
  <c r="N31"/>
  <c r="N56"/>
  <c r="N45"/>
  <c r="G87" i="12"/>
  <c r="G99" s="1"/>
  <c r="G102" s="1"/>
  <c r="G106" s="1"/>
  <c r="E67" i="16"/>
  <c r="H73"/>
  <c r="I42" i="40"/>
  <c r="N42"/>
  <c r="G42"/>
  <c r="L42"/>
  <c r="K42"/>
  <c r="F42"/>
  <c r="M42"/>
  <c r="H42"/>
  <c r="G21" i="16"/>
  <c r="E21" s="1"/>
  <c r="H19" i="22"/>
  <c r="J19" s="1"/>
  <c r="K19" s="1"/>
  <c r="J20" i="5"/>
  <c r="K20" s="1"/>
  <c r="E16" i="19"/>
  <c r="C16" s="1"/>
  <c r="H46" i="5"/>
  <c r="B10" i="69"/>
  <c r="C10" s="1"/>
  <c r="D10" s="1"/>
  <c r="H54" i="40"/>
  <c r="H14" i="16" s="1"/>
  <c r="N54" i="40"/>
  <c r="F54"/>
  <c r="L54"/>
  <c r="K54"/>
  <c r="G54"/>
  <c r="M54"/>
  <c r="I54"/>
  <c r="H14" i="60"/>
  <c r="H55" i="11"/>
  <c r="L16" i="19"/>
  <c r="L58" s="1"/>
  <c r="K48"/>
  <c r="K58" s="1"/>
  <c r="H42" i="9"/>
  <c r="G5" i="40"/>
  <c r="F5"/>
  <c r="N5"/>
  <c r="M3" i="19" s="1"/>
  <c r="M5" i="40"/>
  <c r="L5"/>
  <c r="K3" i="19" s="1"/>
  <c r="K5" i="40"/>
  <c r="J3" i="19" s="1"/>
  <c r="H5" i="40"/>
  <c r="H9" i="16" s="1"/>
  <c r="I5" i="40"/>
  <c r="H16" i="7"/>
  <c r="J16" s="1"/>
  <c r="K16" s="1"/>
  <c r="H56" i="9"/>
  <c r="K93" i="19" s="1"/>
  <c r="N7" i="40"/>
  <c r="F7"/>
  <c r="M7"/>
  <c r="L7"/>
  <c r="K7"/>
  <c r="I7"/>
  <c r="G7"/>
  <c r="H7"/>
  <c r="J41" i="5"/>
  <c r="K41" s="1"/>
  <c r="H45" i="22"/>
  <c r="J45" s="1"/>
  <c r="K45" s="1"/>
  <c r="K56" s="1"/>
  <c r="G46" i="16"/>
  <c r="E46" s="1"/>
  <c r="E48" i="19"/>
  <c r="C48" s="1"/>
  <c r="C61"/>
  <c r="N61"/>
  <c r="E70"/>
  <c r="N35" i="40"/>
  <c r="L35"/>
  <c r="H35"/>
  <c r="K35"/>
  <c r="M35"/>
  <c r="F35"/>
  <c r="G35"/>
  <c r="I35"/>
  <c r="J48" i="19"/>
  <c r="J58" s="1"/>
  <c r="I6" i="40"/>
  <c r="L6"/>
  <c r="H56"/>
  <c r="G56"/>
  <c r="X8" i="57"/>
  <c r="E39" i="16"/>
  <c r="J35" i="6"/>
  <c r="G13" i="60"/>
  <c r="J56" i="5"/>
  <c r="K56" s="1"/>
  <c r="E51" i="60"/>
  <c r="F6" i="40"/>
  <c r="F56"/>
  <c r="E12" i="69"/>
  <c r="N56" i="40"/>
  <c r="E30" i="16"/>
  <c r="E56" i="6"/>
  <c r="E59" s="1"/>
  <c r="E61" s="1"/>
  <c r="N33" i="19"/>
  <c r="E14" i="40"/>
  <c r="E62" s="1"/>
  <c r="H84" i="12"/>
  <c r="J84" s="1"/>
  <c r="K84" s="1"/>
  <c r="K85" s="1"/>
  <c r="H102" i="19"/>
  <c r="H103" s="1"/>
  <c r="S5" i="37"/>
  <c r="N6" i="40"/>
  <c r="Q6" s="1"/>
  <c r="L56"/>
  <c r="N96" i="19"/>
  <c r="G11" i="69"/>
  <c r="H63" i="5" s="1"/>
  <c r="G66" i="16" s="1"/>
  <c r="J77" i="40"/>
  <c r="O77" s="1"/>
  <c r="E36" i="16"/>
  <c r="G56" i="6"/>
  <c r="G59" s="1"/>
  <c r="G61" s="1"/>
  <c r="N74" i="40"/>
  <c r="N78" s="1"/>
  <c r="E38" i="7"/>
  <c r="G6" i="40"/>
  <c r="E53" i="16"/>
  <c r="E35"/>
  <c r="J54" i="6"/>
  <c r="J51" i="29"/>
  <c r="N39" i="19"/>
  <c r="E77" i="22"/>
  <c r="K6" i="40"/>
  <c r="F58" i="19"/>
  <c r="M88"/>
  <c r="E84" i="11"/>
  <c r="E98" s="1"/>
  <c r="J16" i="9"/>
  <c r="E52" i="16"/>
  <c r="E34"/>
  <c r="C57" i="19"/>
  <c r="H11" i="60"/>
  <c r="G12"/>
  <c r="G14" s="1"/>
  <c r="G4" s="1"/>
  <c r="F38" i="7"/>
  <c r="J74" i="40"/>
  <c r="I56"/>
  <c r="G77" i="22"/>
  <c r="H38" i="7"/>
  <c r="G63" i="8"/>
  <c r="J42" i="6"/>
  <c r="K19"/>
  <c r="K35" s="1"/>
  <c r="C43" i="19"/>
  <c r="C37"/>
  <c r="L70"/>
  <c r="F12" i="65"/>
  <c r="F24" s="1"/>
  <c r="F9" i="57"/>
  <c r="F8" i="65"/>
  <c r="F20" s="1"/>
  <c r="F10"/>
  <c r="G6"/>
  <c r="G18" s="1"/>
  <c r="E7"/>
  <c r="F5"/>
  <c r="G13"/>
  <c r="G25" s="1"/>
  <c r="G9"/>
  <c r="G21" s="1"/>
  <c r="G11"/>
  <c r="G23" s="1"/>
  <c r="F4"/>
  <c r="F16" s="1"/>
  <c r="K63" i="9"/>
  <c r="J15"/>
  <c r="K56"/>
  <c r="J42"/>
  <c r="F55" i="72"/>
  <c r="F73" i="5"/>
  <c r="C31" i="19"/>
  <c r="H60" i="5"/>
  <c r="J53"/>
  <c r="J57"/>
  <c r="K57" s="1"/>
  <c r="K60" s="1"/>
  <c r="C56" i="19"/>
  <c r="G64" i="22"/>
  <c r="N53" i="19"/>
  <c r="F64" i="22"/>
  <c r="P70" i="19" s="1"/>
  <c r="E64" i="22"/>
  <c r="J77"/>
  <c r="H64"/>
  <c r="N57" i="19"/>
  <c r="H77" i="22"/>
  <c r="J64"/>
  <c r="C26" i="19"/>
  <c r="K10" i="9"/>
  <c r="F44" i="8"/>
  <c r="F63" s="1"/>
  <c r="F65" s="1"/>
  <c r="E47" i="16"/>
  <c r="G16" i="22"/>
  <c r="E28" i="16"/>
  <c r="N55" i="19"/>
  <c r="E26" i="16"/>
  <c r="E51"/>
  <c r="K77" i="22"/>
  <c r="C51" i="71"/>
  <c r="E50"/>
  <c r="G50"/>
  <c r="G54"/>
  <c r="E54"/>
  <c r="C54"/>
  <c r="F31" i="3"/>
  <c r="N64" i="19"/>
  <c r="N70" s="1"/>
  <c r="K64" i="22"/>
  <c r="K45" i="29"/>
  <c r="K55" s="1"/>
  <c r="K39"/>
  <c r="K48"/>
  <c r="K51" s="1"/>
  <c r="F53"/>
  <c r="F56" s="1"/>
  <c r="P13" i="22"/>
  <c r="Q13" s="1"/>
  <c r="F16"/>
  <c r="P13" i="19" s="1"/>
  <c r="F56" i="6"/>
  <c r="F59" s="1"/>
  <c r="N43" i="19"/>
  <c r="E57" i="16"/>
  <c r="C47" i="19"/>
  <c r="N40"/>
  <c r="N38"/>
  <c r="N32"/>
  <c r="N30"/>
  <c r="N28"/>
  <c r="E27" i="16"/>
  <c r="C51" i="19"/>
  <c r="K15" i="5"/>
  <c r="G79" i="16"/>
  <c r="F71" i="5"/>
  <c r="F56" i="22"/>
  <c r="P58" i="19" s="1"/>
  <c r="K11" i="9"/>
  <c r="F48"/>
  <c r="F66" s="1"/>
  <c r="M58" i="19"/>
  <c r="H57" i="12"/>
  <c r="F87"/>
  <c r="F99" s="1"/>
  <c r="C50" i="71"/>
  <c r="N100" i="19"/>
  <c r="L97"/>
  <c r="F97" i="11"/>
  <c r="K12" i="8"/>
  <c r="K16" s="1"/>
  <c r="J16"/>
  <c r="K28" i="10"/>
  <c r="J28"/>
  <c r="J45"/>
  <c r="J47" s="1"/>
  <c r="K17"/>
  <c r="J17"/>
  <c r="K40"/>
  <c r="K45" s="1"/>
  <c r="K47" s="1"/>
  <c r="F48" i="7"/>
  <c r="K30"/>
  <c r="K38" s="1"/>
  <c r="J30"/>
  <c r="J46"/>
  <c r="J36"/>
  <c r="E8" i="71"/>
  <c r="J11" i="7"/>
  <c r="G48"/>
  <c r="E48"/>
  <c r="G33" i="10"/>
  <c r="G51" s="1"/>
  <c r="E33"/>
  <c r="F17"/>
  <c r="B8" i="71"/>
  <c r="B43" s="1"/>
  <c r="B44" s="1"/>
  <c r="K92" i="11"/>
  <c r="K55"/>
  <c r="J82"/>
  <c r="J55"/>
  <c r="J21"/>
  <c r="J22" s="1"/>
  <c r="J92"/>
  <c r="J69"/>
  <c r="K82"/>
  <c r="K51" i="8"/>
  <c r="K60"/>
  <c r="J42"/>
  <c r="J60"/>
  <c r="G84" i="11"/>
  <c r="G95" s="1"/>
  <c r="E95"/>
  <c r="K57" i="12"/>
  <c r="K78"/>
  <c r="K96"/>
  <c r="J57"/>
  <c r="J96"/>
  <c r="J78"/>
  <c r="D54" i="71"/>
  <c r="E87" i="12"/>
  <c r="E99" s="1"/>
  <c r="E102" s="1"/>
  <c r="E106" s="1"/>
  <c r="G48" i="9"/>
  <c r="G68" s="1"/>
  <c r="Q19" i="37" s="1"/>
  <c r="D51" i="71"/>
  <c r="M16" i="22"/>
  <c r="E56" i="29"/>
  <c r="E61" s="1"/>
  <c r="E16" i="22"/>
  <c r="G31" i="3"/>
  <c r="G36" s="1"/>
  <c r="E31"/>
  <c r="E36" s="1"/>
  <c r="G73" i="72"/>
  <c r="G76" s="1"/>
  <c r="D50" i="71"/>
  <c r="E76" i="72"/>
  <c r="E88" i="22"/>
  <c r="F10" i="72"/>
  <c r="J44"/>
  <c r="J45" s="1"/>
  <c r="K44"/>
  <c r="K45" s="1"/>
  <c r="K46" i="7"/>
  <c r="J15" i="8"/>
  <c r="K21" i="11"/>
  <c r="K22" s="1"/>
  <c r="K42" i="9"/>
  <c r="N21" i="19"/>
  <c r="G58"/>
  <c r="N22"/>
  <c r="O105"/>
  <c r="C28"/>
  <c r="J29" i="3"/>
  <c r="C20" i="19"/>
  <c r="G56" i="22"/>
  <c r="N51" i="19"/>
  <c r="E56" i="22"/>
  <c r="F54" i="16"/>
  <c r="C39" i="19"/>
  <c r="K29" i="3"/>
  <c r="D58" i="19"/>
  <c r="I57" i="40"/>
  <c r="N57"/>
  <c r="F57"/>
  <c r="L57"/>
  <c r="L58" s="1"/>
  <c r="E58"/>
  <c r="K57"/>
  <c r="K58" s="1"/>
  <c r="H57"/>
  <c r="H58" s="1"/>
  <c r="G57"/>
  <c r="M57"/>
  <c r="M58" s="1"/>
  <c r="I8"/>
  <c r="M8"/>
  <c r="N8"/>
  <c r="L8"/>
  <c r="L9" s="1"/>
  <c r="G8"/>
  <c r="G9" s="1"/>
  <c r="H8"/>
  <c r="F8"/>
  <c r="E9"/>
  <c r="K8"/>
  <c r="K9" s="1"/>
  <c r="R14" i="57"/>
  <c r="Z14"/>
  <c r="G5" i="65" l="1"/>
  <c r="F17"/>
  <c r="F7"/>
  <c r="F19" s="1"/>
  <c r="E19"/>
  <c r="G10"/>
  <c r="F22"/>
  <c r="E51" i="10"/>
  <c r="F33"/>
  <c r="F74" i="5"/>
  <c r="F51" i="72" s="1"/>
  <c r="J82" i="22"/>
  <c r="K81"/>
  <c r="K82" s="1"/>
  <c r="J42" i="40"/>
  <c r="O42" s="1"/>
  <c r="G68" i="8"/>
  <c r="J56" i="22"/>
  <c r="P97" i="19"/>
  <c r="E66" i="8"/>
  <c r="E68" s="1"/>
  <c r="E63"/>
  <c r="J85" i="12"/>
  <c r="G52" i="71"/>
  <c r="J41"/>
  <c r="H41"/>
  <c r="H31" i="10"/>
  <c r="H33" s="1"/>
  <c r="H51" s="1"/>
  <c r="J64" i="72"/>
  <c r="K64" s="1"/>
  <c r="H19" i="12"/>
  <c r="J63" i="72"/>
  <c r="D2" i="9"/>
  <c r="D2" i="12" s="1"/>
  <c r="D2" i="11" s="1"/>
  <c r="D2" i="10" s="1"/>
  <c r="D2" i="8" s="1"/>
  <c r="D2" i="7" s="1"/>
  <c r="H58" i="6"/>
  <c r="F92" i="19"/>
  <c r="F97" s="1"/>
  <c r="H78" i="16"/>
  <c r="H70" i="72"/>
  <c r="H15" i="7"/>
  <c r="J15" s="1"/>
  <c r="F66" i="8"/>
  <c r="F68" s="1"/>
  <c r="E49" i="71"/>
  <c r="G8"/>
  <c r="B46"/>
  <c r="D46"/>
  <c r="E63" i="16"/>
  <c r="J60" i="5"/>
  <c r="K15" i="8"/>
  <c r="H56" i="22"/>
  <c r="C70" i="19"/>
  <c r="N48"/>
  <c r="E58"/>
  <c r="B11" i="69"/>
  <c r="C11" s="1"/>
  <c r="D11"/>
  <c r="E13"/>
  <c r="G13"/>
  <c r="J7" i="40"/>
  <c r="O7" s="1"/>
  <c r="N9"/>
  <c r="F49" i="72"/>
  <c r="F61" i="6" s="1"/>
  <c r="J56" i="40"/>
  <c r="O56" s="1"/>
  <c r="O74"/>
  <c r="J78"/>
  <c r="O78" s="1"/>
  <c r="H85" i="12"/>
  <c r="M95" i="19" s="1"/>
  <c r="H18" i="7"/>
  <c r="J18" s="1"/>
  <c r="K18" s="1"/>
  <c r="Q5" i="40"/>
  <c r="L3" i="19"/>
  <c r="J54" i="40"/>
  <c r="O54" s="1"/>
  <c r="N58"/>
  <c r="G86" i="22"/>
  <c r="G90" s="1"/>
  <c r="J38" i="7"/>
  <c r="G54" i="16"/>
  <c r="E84" i="19"/>
  <c r="H64" i="5"/>
  <c r="H71" s="1"/>
  <c r="H67" i="22"/>
  <c r="H59" i="72"/>
  <c r="J63" i="5"/>
  <c r="J35" i="40"/>
  <c r="O35" s="1"/>
  <c r="N93" i="19"/>
  <c r="K97"/>
  <c r="F9" i="16"/>
  <c r="D3" i="19"/>
  <c r="J5" i="40"/>
  <c r="O5" s="1"/>
  <c r="J46" i="5"/>
  <c r="N14" i="40"/>
  <c r="N62" s="1"/>
  <c r="I14"/>
  <c r="I12" i="16" s="1"/>
  <c r="L14" i="40"/>
  <c r="L62" s="1"/>
  <c r="H14"/>
  <c r="H62" s="1"/>
  <c r="G14"/>
  <c r="G62" s="1"/>
  <c r="K14"/>
  <c r="K62" s="1"/>
  <c r="M14"/>
  <c r="M62" s="1"/>
  <c r="F14"/>
  <c r="F62" s="1"/>
  <c r="I58"/>
  <c r="G58"/>
  <c r="H105" i="19"/>
  <c r="H110" s="1"/>
  <c r="N16"/>
  <c r="I9" i="40"/>
  <c r="J6"/>
  <c r="O6" s="1"/>
  <c r="I62"/>
  <c r="H9"/>
  <c r="G98" i="11"/>
  <c r="G102" s="1"/>
  <c r="K46" i="5"/>
  <c r="Q7" i="40"/>
  <c r="G3" i="19"/>
  <c r="I9" i="16"/>
  <c r="G7" i="65"/>
  <c r="G19" s="1"/>
  <c r="H6"/>
  <c r="G12"/>
  <c r="G24" s="1"/>
  <c r="G8"/>
  <c r="G20" s="1"/>
  <c r="K9" i="57"/>
  <c r="G9"/>
  <c r="D26" i="40"/>
  <c r="E26" s="1"/>
  <c r="H9" i="65"/>
  <c r="H21" s="1"/>
  <c r="G4"/>
  <c r="G16" s="1"/>
  <c r="H10"/>
  <c r="H22" s="1"/>
  <c r="H13"/>
  <c r="H25" s="1"/>
  <c r="H11"/>
  <c r="H23" s="1"/>
  <c r="E92" i="19"/>
  <c r="E86" i="22"/>
  <c r="E90" s="1"/>
  <c r="E54" i="16"/>
  <c r="G73"/>
  <c r="E66"/>
  <c r="E73" s="1"/>
  <c r="F101" i="12"/>
  <c r="F50" i="72"/>
  <c r="F61" i="29" s="1"/>
  <c r="F48" i="72"/>
  <c r="F86" i="22"/>
  <c r="K16" i="9"/>
  <c r="K15"/>
  <c r="F68"/>
  <c r="F98" i="11"/>
  <c r="F51" i="10"/>
  <c r="K11" i="7"/>
  <c r="F44" i="72"/>
  <c r="C8" i="71"/>
  <c r="L8" s="1"/>
  <c r="L43" s="1"/>
  <c r="L45" s="1"/>
  <c r="C58" i="19"/>
  <c r="N59" s="1"/>
  <c r="F58" i="40"/>
  <c r="J57"/>
  <c r="F9"/>
  <c r="J8"/>
  <c r="M9"/>
  <c r="Q8"/>
  <c r="Q9" s="1"/>
  <c r="G22" i="65" l="1"/>
  <c r="H5"/>
  <c r="G17"/>
  <c r="I6"/>
  <c r="I18" s="1"/>
  <c r="H18"/>
  <c r="J70" i="72"/>
  <c r="K63"/>
  <c r="K70" s="1"/>
  <c r="H23" i="12"/>
  <c r="E18" i="71"/>
  <c r="J21" i="7"/>
  <c r="K15"/>
  <c r="I102" i="19"/>
  <c r="I103" s="1"/>
  <c r="S11" i="37"/>
  <c r="H22" i="12"/>
  <c r="J19"/>
  <c r="K19" s="1"/>
  <c r="J8" i="71"/>
  <c r="H8"/>
  <c r="H60" i="72"/>
  <c r="J59"/>
  <c r="H68" i="22"/>
  <c r="J67"/>
  <c r="J31" i="10"/>
  <c r="D42" i="71"/>
  <c r="E78" i="16"/>
  <c r="H79"/>
  <c r="E79" s="1"/>
  <c r="E42" i="71"/>
  <c r="G42" s="1"/>
  <c r="H42" s="1"/>
  <c r="G49"/>
  <c r="J48" i="7"/>
  <c r="H73" i="5"/>
  <c r="H74" s="1"/>
  <c r="H51" i="72" s="1"/>
  <c r="J51" s="1"/>
  <c r="K51" s="1"/>
  <c r="N58" i="19"/>
  <c r="H21" i="7"/>
  <c r="H48" s="1"/>
  <c r="G84" i="16"/>
  <c r="G86" s="1"/>
  <c r="H20" i="9"/>
  <c r="J20" s="1"/>
  <c r="K20" s="1"/>
  <c r="K11" i="19"/>
  <c r="F11"/>
  <c r="H13" i="6"/>
  <c r="J13" s="1"/>
  <c r="K13" s="1"/>
  <c r="H16" i="16"/>
  <c r="L11" i="19"/>
  <c r="H26" i="11"/>
  <c r="J26" s="1"/>
  <c r="K26" s="1"/>
  <c r="H28" i="12"/>
  <c r="J28" s="1"/>
  <c r="K28" s="1"/>
  <c r="M11" i="19"/>
  <c r="F69" i="9"/>
  <c r="H18" i="29"/>
  <c r="J18" s="1"/>
  <c r="K18" s="1"/>
  <c r="I16" i="16"/>
  <c r="G11" i="19"/>
  <c r="J64" i="5"/>
  <c r="J73" s="1"/>
  <c r="K63"/>
  <c r="K64" s="1"/>
  <c r="J11" i="19"/>
  <c r="J21" i="8"/>
  <c r="K21" s="1"/>
  <c r="P62" i="40"/>
  <c r="E14" i="69"/>
  <c r="N3" i="19"/>
  <c r="C3"/>
  <c r="E9" i="16"/>
  <c r="E88" i="19"/>
  <c r="N89" s="1"/>
  <c r="N84"/>
  <c r="N88" s="1"/>
  <c r="C84"/>
  <c r="C88" s="1"/>
  <c r="M97"/>
  <c r="N95"/>
  <c r="B12" i="69"/>
  <c r="C12" s="1"/>
  <c r="D12" s="1"/>
  <c r="H13" i="3"/>
  <c r="J13" s="1"/>
  <c r="K13" s="1"/>
  <c r="D11" i="19"/>
  <c r="J62" i="40"/>
  <c r="F16" i="16"/>
  <c r="F102" i="12"/>
  <c r="F106" s="1"/>
  <c r="J14" i="40"/>
  <c r="O14" s="1"/>
  <c r="H7" i="65"/>
  <c r="H19" s="1"/>
  <c r="G26" i="40"/>
  <c r="N26"/>
  <c r="K26"/>
  <c r="M26"/>
  <c r="H26"/>
  <c r="L26"/>
  <c r="F26"/>
  <c r="I26"/>
  <c r="H12" i="65"/>
  <c r="H24" s="1"/>
  <c r="V9" i="57"/>
  <c r="P9"/>
  <c r="E29" i="40" s="1"/>
  <c r="T9" i="57"/>
  <c r="X9"/>
  <c r="Y9"/>
  <c r="U9"/>
  <c r="W9"/>
  <c r="O9"/>
  <c r="H8" i="65"/>
  <c r="H20" s="1"/>
  <c r="I9"/>
  <c r="I13"/>
  <c r="I25" s="1"/>
  <c r="I11"/>
  <c r="I23" s="1"/>
  <c r="I10"/>
  <c r="I22" s="1"/>
  <c r="F6" i="57"/>
  <c r="H4" i="65"/>
  <c r="H16" s="1"/>
  <c r="N92" i="19"/>
  <c r="E97"/>
  <c r="E105" s="1"/>
  <c r="E110" s="1"/>
  <c r="C92"/>
  <c r="C97" s="1"/>
  <c r="F52" i="72"/>
  <c r="F73" s="1"/>
  <c r="F75" s="1"/>
  <c r="F36" i="3"/>
  <c r="C49" i="71"/>
  <c r="C56" s="1"/>
  <c r="C43"/>
  <c r="C44" s="1"/>
  <c r="C46"/>
  <c r="F45" i="72"/>
  <c r="O57" i="40"/>
  <c r="J58"/>
  <c r="O58" s="1"/>
  <c r="O8"/>
  <c r="J9"/>
  <c r="O9" s="1"/>
  <c r="F10" i="57" l="1"/>
  <c r="I21" i="65"/>
  <c r="H17"/>
  <c r="I5"/>
  <c r="I17" s="1"/>
  <c r="K11" i="57"/>
  <c r="D40" i="40"/>
  <c r="E40" s="1"/>
  <c r="G11" i="57"/>
  <c r="K48" i="7"/>
  <c r="K21"/>
  <c r="I105" i="19"/>
  <c r="I110" s="1"/>
  <c r="J68" i="22"/>
  <c r="K67"/>
  <c r="K68" s="1"/>
  <c r="J60" i="72"/>
  <c r="K59"/>
  <c r="K60" s="1"/>
  <c r="J23" i="12"/>
  <c r="G18" i="71"/>
  <c r="G43" s="1"/>
  <c r="G44" s="1"/>
  <c r="E51"/>
  <c r="K22" i="12"/>
  <c r="K23"/>
  <c r="E43" i="71"/>
  <c r="E44" s="1"/>
  <c r="J22" i="12"/>
  <c r="K42" i="71"/>
  <c r="K43" s="1"/>
  <c r="D53"/>
  <c r="D56" s="1"/>
  <c r="D58" s="1"/>
  <c r="D43"/>
  <c r="D44" s="1"/>
  <c r="K31" i="10"/>
  <c r="K33" s="1"/>
  <c r="J33"/>
  <c r="J51" s="1"/>
  <c r="G53" i="71"/>
  <c r="J42"/>
  <c r="E53"/>
  <c r="E56" s="1"/>
  <c r="E16" i="16"/>
  <c r="E46" i="71"/>
  <c r="N97" i="19"/>
  <c r="P19" i="37"/>
  <c r="B13" i="69"/>
  <c r="C13" s="1"/>
  <c r="D13"/>
  <c r="C11" i="19"/>
  <c r="N11"/>
  <c r="J71" i="5"/>
  <c r="J74" s="1"/>
  <c r="H14" i="22"/>
  <c r="J14" s="1"/>
  <c r="K14" s="1"/>
  <c r="E15" i="69"/>
  <c r="G15"/>
  <c r="F12" i="57"/>
  <c r="K71" i="5"/>
  <c r="K73"/>
  <c r="I7" i="65"/>
  <c r="I19" s="1"/>
  <c r="O62" i="40"/>
  <c r="Z9" i="57"/>
  <c r="H12" i="16"/>
  <c r="E12" s="1"/>
  <c r="F6" i="19"/>
  <c r="I8" i="65"/>
  <c r="I20" s="1"/>
  <c r="I12"/>
  <c r="I24" s="1"/>
  <c r="E27" i="40"/>
  <c r="R9" i="57"/>
  <c r="F29" i="40"/>
  <c r="G29"/>
  <c r="M29"/>
  <c r="L29"/>
  <c r="I29"/>
  <c r="N29"/>
  <c r="H29"/>
  <c r="K29"/>
  <c r="J26"/>
  <c r="K6" i="57"/>
  <c r="D12" i="40"/>
  <c r="E12" s="1"/>
  <c r="G6" i="57"/>
  <c r="I4" i="65"/>
  <c r="I16" s="1"/>
  <c r="F76" i="72"/>
  <c r="F88" i="22"/>
  <c r="C58" i="71"/>
  <c r="O11" i="57" l="1"/>
  <c r="P11"/>
  <c r="T11"/>
  <c r="Y11"/>
  <c r="U11"/>
  <c r="X11"/>
  <c r="V11"/>
  <c r="W11"/>
  <c r="K40" i="40"/>
  <c r="J8" i="19" s="1"/>
  <c r="H40" i="40"/>
  <c r="M40"/>
  <c r="L8" i="19" s="1"/>
  <c r="F40" i="40"/>
  <c r="L40"/>
  <c r="K8" i="19" s="1"/>
  <c r="G40" i="40"/>
  <c r="I40"/>
  <c r="N40"/>
  <c r="M8" i="19" s="1"/>
  <c r="H18" i="71"/>
  <c r="H43" s="1"/>
  <c r="H44" s="1"/>
  <c r="J40"/>
  <c r="J43" s="1"/>
  <c r="G51"/>
  <c r="G56" s="1"/>
  <c r="K51" i="10"/>
  <c r="H46" i="71"/>
  <c r="G46"/>
  <c r="E58"/>
  <c r="F90" i="22"/>
  <c r="P102" i="19"/>
  <c r="N8"/>
  <c r="G12" i="57"/>
  <c r="D47" i="40"/>
  <c r="E47" s="1"/>
  <c r="K12" i="57"/>
  <c r="N69" i="40"/>
  <c r="F69"/>
  <c r="H69"/>
  <c r="K69"/>
  <c r="G69"/>
  <c r="M69"/>
  <c r="L69"/>
  <c r="I69"/>
  <c r="E16" i="69"/>
  <c r="B14"/>
  <c r="C14" s="1"/>
  <c r="D14"/>
  <c r="K74" i="5"/>
  <c r="F13" i="57"/>
  <c r="K13" s="1"/>
  <c r="J69" i="40"/>
  <c r="J29"/>
  <c r="O29" s="1"/>
  <c r="N27"/>
  <c r="N30" s="1"/>
  <c r="F27"/>
  <c r="K27"/>
  <c r="K30" s="1"/>
  <c r="I27"/>
  <c r="I30" s="1"/>
  <c r="G27"/>
  <c r="G30" s="1"/>
  <c r="L27"/>
  <c r="L30" s="1"/>
  <c r="M27"/>
  <c r="M30" s="1"/>
  <c r="H27"/>
  <c r="H30" s="1"/>
  <c r="E30"/>
  <c r="C6" i="19"/>
  <c r="N6"/>
  <c r="O26" i="40"/>
  <c r="G10" i="57"/>
  <c r="K10"/>
  <c r="D19" i="40"/>
  <c r="E19" s="1"/>
  <c r="G7" i="57"/>
  <c r="K7"/>
  <c r="F12" i="40"/>
  <c r="H12"/>
  <c r="I12"/>
  <c r="L12"/>
  <c r="K12"/>
  <c r="N12"/>
  <c r="M12"/>
  <c r="G12"/>
  <c r="V6" i="57"/>
  <c r="P6"/>
  <c r="W6"/>
  <c r="T6"/>
  <c r="U6"/>
  <c r="X6"/>
  <c r="Y6"/>
  <c r="O6"/>
  <c r="E41" i="40" l="1"/>
  <c r="R11" i="57"/>
  <c r="E43" i="40"/>
  <c r="Z11" i="57"/>
  <c r="J40" i="40"/>
  <c r="O40" s="1"/>
  <c r="P103" i="19"/>
  <c r="P105"/>
  <c r="V13" i="57"/>
  <c r="W13"/>
  <c r="Y13"/>
  <c r="U13"/>
  <c r="X13"/>
  <c r="P13"/>
  <c r="O13"/>
  <c r="T13"/>
  <c r="V12"/>
  <c r="T12"/>
  <c r="Y12"/>
  <c r="X12"/>
  <c r="W12"/>
  <c r="P12"/>
  <c r="E50" i="40" s="1"/>
  <c r="U12" i="57"/>
  <c r="O12"/>
  <c r="E48" i="40" s="1"/>
  <c r="N47"/>
  <c r="M9" i="19" s="1"/>
  <c r="H47" i="40"/>
  <c r="F47"/>
  <c r="K47"/>
  <c r="M47"/>
  <c r="L9" i="19" s="1"/>
  <c r="L47" i="40"/>
  <c r="G47"/>
  <c r="I47"/>
  <c r="E17" i="69"/>
  <c r="O69" i="40"/>
  <c r="B15" i="69"/>
  <c r="C15" s="1"/>
  <c r="D15" s="1"/>
  <c r="R6" i="57"/>
  <c r="K16"/>
  <c r="Z6"/>
  <c r="J27" i="40"/>
  <c r="F30"/>
  <c r="L4" i="19"/>
  <c r="F10" i="16"/>
  <c r="D4" i="19"/>
  <c r="E15" i="40"/>
  <c r="M4" i="19"/>
  <c r="V7" i="57"/>
  <c r="Y7"/>
  <c r="T7"/>
  <c r="U7"/>
  <c r="O7"/>
  <c r="E20" i="40" s="1"/>
  <c r="W7" i="57"/>
  <c r="X7"/>
  <c r="P7"/>
  <c r="E22" i="40" s="1"/>
  <c r="E13"/>
  <c r="J4" i="19"/>
  <c r="L19" i="40"/>
  <c r="G19"/>
  <c r="G23" s="1"/>
  <c r="F19"/>
  <c r="M19"/>
  <c r="N19"/>
  <c r="I19"/>
  <c r="I23" s="1"/>
  <c r="H19"/>
  <c r="K19"/>
  <c r="J12"/>
  <c r="I10" i="16"/>
  <c r="X10" i="57"/>
  <c r="Y10"/>
  <c r="T10"/>
  <c r="W10"/>
  <c r="D33" i="40"/>
  <c r="E33" s="1"/>
  <c r="E60" s="1"/>
  <c r="V10" i="57"/>
  <c r="O10"/>
  <c r="E34" i="40" s="1"/>
  <c r="U10" i="57"/>
  <c r="P10"/>
  <c r="H10" i="16"/>
  <c r="L43" i="40" l="1"/>
  <c r="G43"/>
  <c r="M43"/>
  <c r="N43"/>
  <c r="F43"/>
  <c r="I43"/>
  <c r="H43"/>
  <c r="K43"/>
  <c r="G41"/>
  <c r="K41"/>
  <c r="K44" s="1"/>
  <c r="N41"/>
  <c r="F41"/>
  <c r="H41"/>
  <c r="I41"/>
  <c r="L41"/>
  <c r="M41"/>
  <c r="M44" s="1"/>
  <c r="E44"/>
  <c r="Z13" i="57"/>
  <c r="R13"/>
  <c r="U16"/>
  <c r="Z12"/>
  <c r="Z19" s="1"/>
  <c r="B16" i="69"/>
  <c r="C16" s="1"/>
  <c r="D16" s="1"/>
  <c r="E18"/>
  <c r="J9" i="19"/>
  <c r="F50" i="40"/>
  <c r="L50"/>
  <c r="N50"/>
  <c r="H50"/>
  <c r="G50"/>
  <c r="M50"/>
  <c r="I50"/>
  <c r="K50"/>
  <c r="K9" i="19"/>
  <c r="J47" i="40"/>
  <c r="G17" i="69"/>
  <c r="F9" i="19"/>
  <c r="C9" s="1"/>
  <c r="I48" i="40"/>
  <c r="I51" s="1"/>
  <c r="N48"/>
  <c r="F48"/>
  <c r="F51" s="1"/>
  <c r="K48"/>
  <c r="M48"/>
  <c r="L48"/>
  <c r="H48"/>
  <c r="G48"/>
  <c r="G51" s="1"/>
  <c r="E51"/>
  <c r="R12" i="57"/>
  <c r="E23" i="40"/>
  <c r="X16" i="57"/>
  <c r="V16"/>
  <c r="Y16"/>
  <c r="T16"/>
  <c r="O27" i="40"/>
  <c r="P30" s="1"/>
  <c r="J30"/>
  <c r="O30" s="1"/>
  <c r="R10" i="57"/>
  <c r="E36" i="40"/>
  <c r="E63" s="1"/>
  <c r="J19"/>
  <c r="D5" i="19"/>
  <c r="F11" i="16"/>
  <c r="H34" i="40"/>
  <c r="N34"/>
  <c r="L34"/>
  <c r="I34"/>
  <c r="G34"/>
  <c r="K34"/>
  <c r="F34"/>
  <c r="M34"/>
  <c r="H11" i="16"/>
  <c r="H23" i="40"/>
  <c r="K5" i="19"/>
  <c r="W16" i="57"/>
  <c r="O12" i="40"/>
  <c r="H13"/>
  <c r="K13"/>
  <c r="M13"/>
  <c r="G13"/>
  <c r="N13"/>
  <c r="F13"/>
  <c r="E61"/>
  <c r="L13"/>
  <c r="I13"/>
  <c r="E16"/>
  <c r="F20"/>
  <c r="M20"/>
  <c r="I20"/>
  <c r="G20"/>
  <c r="H20"/>
  <c r="K20"/>
  <c r="N20"/>
  <c r="L20"/>
  <c r="N4" i="19"/>
  <c r="C4"/>
  <c r="H22" i="40"/>
  <c r="L22"/>
  <c r="G22"/>
  <c r="N22"/>
  <c r="I22"/>
  <c r="F22"/>
  <c r="M22"/>
  <c r="K22"/>
  <c r="Z10" i="57"/>
  <c r="M5" i="19"/>
  <c r="R7" i="57"/>
  <c r="R16" s="1"/>
  <c r="E10" i="16"/>
  <c r="H15" i="40"/>
  <c r="N15"/>
  <c r="L15"/>
  <c r="F15"/>
  <c r="K15"/>
  <c r="G15"/>
  <c r="I15"/>
  <c r="I13" i="16" s="1"/>
  <c r="M15" i="40"/>
  <c r="O16" i="57"/>
  <c r="M33" i="40"/>
  <c r="H33"/>
  <c r="N33"/>
  <c r="G33"/>
  <c r="G60" s="1"/>
  <c r="G67" s="1"/>
  <c r="L33"/>
  <c r="K7" i="19" s="1"/>
  <c r="F33" i="40"/>
  <c r="K33"/>
  <c r="I33"/>
  <c r="I60" s="1"/>
  <c r="L5" i="19"/>
  <c r="Z7" i="57"/>
  <c r="P16"/>
  <c r="J5" i="19"/>
  <c r="N44" i="40" l="1"/>
  <c r="H44"/>
  <c r="J43"/>
  <c r="O43" s="1"/>
  <c r="L44"/>
  <c r="F44"/>
  <c r="J41"/>
  <c r="I44"/>
  <c r="G44"/>
  <c r="H51"/>
  <c r="J50"/>
  <c r="O50" s="1"/>
  <c r="L51"/>
  <c r="K51"/>
  <c r="N51"/>
  <c r="B17" i="69"/>
  <c r="C17" s="1"/>
  <c r="D17" s="1"/>
  <c r="N9" i="19"/>
  <c r="G18" i="69"/>
  <c r="E20"/>
  <c r="M51" i="40"/>
  <c r="J48"/>
  <c r="O48" s="1"/>
  <c r="O47"/>
  <c r="J51"/>
  <c r="E65"/>
  <c r="L23"/>
  <c r="M23"/>
  <c r="Z16" i="57"/>
  <c r="E37" i="40"/>
  <c r="N23"/>
  <c r="J20"/>
  <c r="O20" s="1"/>
  <c r="K23"/>
  <c r="H16" i="29"/>
  <c r="J16" s="1"/>
  <c r="I67" i="40"/>
  <c r="J33"/>
  <c r="L7" i="19"/>
  <c r="G61" i="40"/>
  <c r="G16"/>
  <c r="F60"/>
  <c r="O19"/>
  <c r="J7" i="19"/>
  <c r="K60" i="40"/>
  <c r="C5" i="19"/>
  <c r="N5"/>
  <c r="I11" i="16"/>
  <c r="E11" s="1"/>
  <c r="I61" i="40"/>
  <c r="I16"/>
  <c r="I14" i="16" s="1"/>
  <c r="E14" s="1"/>
  <c r="M61" i="40"/>
  <c r="M16"/>
  <c r="K36"/>
  <c r="K37" s="1"/>
  <c r="M36"/>
  <c r="M37" s="1"/>
  <c r="F36"/>
  <c r="F37" s="1"/>
  <c r="I36"/>
  <c r="I37" s="1"/>
  <c r="L36"/>
  <c r="L37" s="1"/>
  <c r="H36"/>
  <c r="H63" s="1"/>
  <c r="N36"/>
  <c r="N37" s="1"/>
  <c r="G36"/>
  <c r="G37" s="1"/>
  <c r="M60"/>
  <c r="J15"/>
  <c r="O15" s="1"/>
  <c r="J22"/>
  <c r="O22" s="1"/>
  <c r="L61"/>
  <c r="L16"/>
  <c r="K61"/>
  <c r="K16"/>
  <c r="J34"/>
  <c r="O34" s="1"/>
  <c r="H13" i="16"/>
  <c r="E13" s="1"/>
  <c r="H60" i="40"/>
  <c r="N61"/>
  <c r="N16"/>
  <c r="H61"/>
  <c r="H16"/>
  <c r="F23"/>
  <c r="M7" i="19"/>
  <c r="F61" i="40"/>
  <c r="J13"/>
  <c r="F16"/>
  <c r="L60"/>
  <c r="N60"/>
  <c r="O41" l="1"/>
  <c r="J44"/>
  <c r="O44" s="1"/>
  <c r="K16" i="29"/>
  <c r="B18" i="69"/>
  <c r="C18" s="1"/>
  <c r="D18" s="1"/>
  <c r="O51" i="40"/>
  <c r="G63"/>
  <c r="G65" s="1"/>
  <c r="P23"/>
  <c r="F63"/>
  <c r="F65" s="1"/>
  <c r="N63"/>
  <c r="M12" i="19" s="1"/>
  <c r="K63" i="40"/>
  <c r="K65" s="1"/>
  <c r="M63"/>
  <c r="L12" i="19" s="1"/>
  <c r="F12"/>
  <c r="H14" i="6"/>
  <c r="J14" s="1"/>
  <c r="K14" s="1"/>
  <c r="H17" i="16"/>
  <c r="L10" i="19"/>
  <c r="H25" i="11"/>
  <c r="J25" s="1"/>
  <c r="K25" s="1"/>
  <c r="O33" i="40"/>
  <c r="H27" i="12"/>
  <c r="J27" s="1"/>
  <c r="K27" s="1"/>
  <c r="M10" i="19"/>
  <c r="F67" i="40"/>
  <c r="H11" i="3"/>
  <c r="J11" s="1"/>
  <c r="K11" s="1"/>
  <c r="J60" i="40"/>
  <c r="F10" i="19"/>
  <c r="H12" i="6"/>
  <c r="J12" s="1"/>
  <c r="K12" s="1"/>
  <c r="H15" i="16"/>
  <c r="M67" i="40"/>
  <c r="H24" i="11"/>
  <c r="J36" i="40"/>
  <c r="O36" s="1"/>
  <c r="H17" i="29"/>
  <c r="J17" s="1"/>
  <c r="K17" s="1"/>
  <c r="G10" i="19"/>
  <c r="I15" i="16"/>
  <c r="I63" i="40"/>
  <c r="H11" i="6"/>
  <c r="H67" i="40"/>
  <c r="H65"/>
  <c r="J19" i="8"/>
  <c r="K67" i="40"/>
  <c r="H12" i="3"/>
  <c r="J12" s="1"/>
  <c r="K12" s="1"/>
  <c r="J61" i="40"/>
  <c r="O61" s="1"/>
  <c r="K68" s="1"/>
  <c r="D10" i="19"/>
  <c r="F15" i="16"/>
  <c r="L67" i="40"/>
  <c r="H18" i="9"/>
  <c r="J10" i="19"/>
  <c r="J20" i="8"/>
  <c r="K20" s="1"/>
  <c r="P61" i="40"/>
  <c r="O13"/>
  <c r="P16" s="1"/>
  <c r="J16"/>
  <c r="O16" s="1"/>
  <c r="L63"/>
  <c r="H37"/>
  <c r="K10" i="19"/>
  <c r="H19" i="9"/>
  <c r="J19" s="1"/>
  <c r="K19" s="1"/>
  <c r="N7" i="19"/>
  <c r="P60" i="40"/>
  <c r="N67"/>
  <c r="H26" i="12"/>
  <c r="J26" s="1"/>
  <c r="N65" i="40"/>
  <c r="J23"/>
  <c r="O23" s="1"/>
  <c r="K19" i="8" l="1"/>
  <c r="K26" i="12"/>
  <c r="J22" i="8"/>
  <c r="K22" s="1"/>
  <c r="F17" i="16"/>
  <c r="F18" s="1"/>
  <c r="F84" s="1"/>
  <c r="F86" s="1"/>
  <c r="D12" i="19"/>
  <c r="D13" s="1"/>
  <c r="H14" i="3"/>
  <c r="H13" i="22"/>
  <c r="J13" s="1"/>
  <c r="K13" s="1"/>
  <c r="M65" i="40"/>
  <c r="J12" i="19"/>
  <c r="J13" s="1"/>
  <c r="H27" i="11"/>
  <c r="L13" i="19"/>
  <c r="F13"/>
  <c r="F105" s="1"/>
  <c r="M13"/>
  <c r="H18" i="16"/>
  <c r="H84" s="1"/>
  <c r="H86" s="1"/>
  <c r="H29" i="12"/>
  <c r="G12" i="19"/>
  <c r="H19" i="29"/>
  <c r="I17" i="16"/>
  <c r="I18" s="1"/>
  <c r="I84" s="1"/>
  <c r="I86" s="1"/>
  <c r="J68" i="40"/>
  <c r="O68"/>
  <c r="I68"/>
  <c r="M68"/>
  <c r="C10" i="19"/>
  <c r="N10"/>
  <c r="N68" i="40"/>
  <c r="J24" i="11"/>
  <c r="G68" i="40"/>
  <c r="O60"/>
  <c r="J67"/>
  <c r="O67" s="1"/>
  <c r="K12" i="19"/>
  <c r="K13" s="1"/>
  <c r="H21" i="9"/>
  <c r="L65" i="40"/>
  <c r="F68"/>
  <c r="P63"/>
  <c r="L68"/>
  <c r="J18" i="9"/>
  <c r="E15" i="16"/>
  <c r="J11" i="6"/>
  <c r="H15"/>
  <c r="H56" s="1"/>
  <c r="I65" i="40"/>
  <c r="H68"/>
  <c r="H12" i="22"/>
  <c r="J12" s="1"/>
  <c r="K12" s="1"/>
  <c r="J37" i="40"/>
  <c r="O37" s="1"/>
  <c r="J63"/>
  <c r="O63" s="1"/>
  <c r="L70" s="1"/>
  <c r="H23" i="8" l="1"/>
  <c r="H44" s="1"/>
  <c r="J23"/>
  <c r="J44" s="1"/>
  <c r="K23"/>
  <c r="K44" s="1"/>
  <c r="K24" i="11"/>
  <c r="H28"/>
  <c r="H84" s="1"/>
  <c r="J27"/>
  <c r="K27" s="1"/>
  <c r="H30" i="12"/>
  <c r="H87" s="1"/>
  <c r="H99" s="1"/>
  <c r="H101" s="1"/>
  <c r="H102" s="1"/>
  <c r="J29"/>
  <c r="H22" i="9"/>
  <c r="J21"/>
  <c r="K21" s="1"/>
  <c r="K18"/>
  <c r="H20" i="29"/>
  <c r="H53" s="1"/>
  <c r="H50" i="72" s="1"/>
  <c r="J19" i="29"/>
  <c r="H15" i="3"/>
  <c r="H31" s="1"/>
  <c r="J14"/>
  <c r="C12" i="19"/>
  <c r="F110"/>
  <c r="G13"/>
  <c r="G105" s="1"/>
  <c r="H15" i="22"/>
  <c r="N12" i="19"/>
  <c r="N13" s="1"/>
  <c r="J65" i="40"/>
  <c r="O65" s="1"/>
  <c r="P65" s="1"/>
  <c r="E17" i="16"/>
  <c r="E18" s="1"/>
  <c r="E84" s="1"/>
  <c r="I70" i="40"/>
  <c r="E86" i="16"/>
  <c r="J70" i="40"/>
  <c r="K70"/>
  <c r="F70"/>
  <c r="G70"/>
  <c r="N70"/>
  <c r="H70"/>
  <c r="M70"/>
  <c r="H56" i="29"/>
  <c r="D105" i="19"/>
  <c r="H59" i="6"/>
  <c r="H49" i="72"/>
  <c r="J49" s="1"/>
  <c r="K49" s="1"/>
  <c r="K11" i="6"/>
  <c r="K15" s="1"/>
  <c r="K56" s="1"/>
  <c r="K59" s="1"/>
  <c r="J15"/>
  <c r="J56" s="1"/>
  <c r="J59" s="1"/>
  <c r="H95" i="11"/>
  <c r="H97" s="1"/>
  <c r="K22" i="9" l="1"/>
  <c r="K48" s="1"/>
  <c r="K66" s="1"/>
  <c r="J22"/>
  <c r="J48" s="1"/>
  <c r="J66" s="1"/>
  <c r="H48"/>
  <c r="H66"/>
  <c r="J15" i="3"/>
  <c r="J31" s="1"/>
  <c r="K14"/>
  <c r="K15" s="1"/>
  <c r="K31" s="1"/>
  <c r="J61" i="6"/>
  <c r="K61"/>
  <c r="D110" i="19"/>
  <c r="S17" i="37"/>
  <c r="K101" i="12"/>
  <c r="M102" i="19"/>
  <c r="M103" s="1"/>
  <c r="K63" i="8"/>
  <c r="J63"/>
  <c r="H63"/>
  <c r="H65" s="1"/>
  <c r="S7" i="37" s="1"/>
  <c r="H98" i="11"/>
  <c r="H99" s="1"/>
  <c r="J97"/>
  <c r="K97" s="1"/>
  <c r="K28"/>
  <c r="K84" s="1"/>
  <c r="K95" s="1"/>
  <c r="J28"/>
  <c r="J84" s="1"/>
  <c r="K29" i="12"/>
  <c r="K30" s="1"/>
  <c r="J30"/>
  <c r="H61" i="6"/>
  <c r="K19" i="29"/>
  <c r="K20" s="1"/>
  <c r="J20"/>
  <c r="J53" s="1"/>
  <c r="H61"/>
  <c r="J50" i="72"/>
  <c r="H16" i="22"/>
  <c r="H86" s="1"/>
  <c r="J15"/>
  <c r="H48" i="72"/>
  <c r="J48" s="1"/>
  <c r="H104" i="12"/>
  <c r="H106"/>
  <c r="J68" i="9"/>
  <c r="G110" i="19"/>
  <c r="C13"/>
  <c r="N14" s="1"/>
  <c r="H52" i="72"/>
  <c r="H73" s="1"/>
  <c r="S15" i="37"/>
  <c r="L102" i="19"/>
  <c r="O70" i="40"/>
  <c r="H68" i="9" l="1"/>
  <c r="H69" s="1"/>
  <c r="J65" i="8"/>
  <c r="K65" s="1"/>
  <c r="K66" s="1"/>
  <c r="K68" s="1"/>
  <c r="J16" i="22"/>
  <c r="J86" s="1"/>
  <c r="K15"/>
  <c r="K16" s="1"/>
  <c r="K86" s="1"/>
  <c r="K50" i="72"/>
  <c r="J56" i="29"/>
  <c r="J61" s="1"/>
  <c r="K53"/>
  <c r="K56" s="1"/>
  <c r="K61" s="1"/>
  <c r="M105" i="19"/>
  <c r="M110" s="1"/>
  <c r="J52" i="72"/>
  <c r="J73" s="1"/>
  <c r="K48"/>
  <c r="J102" i="19"/>
  <c r="J105" s="1"/>
  <c r="H66" i="8"/>
  <c r="H68" s="1"/>
  <c r="J98" i="11"/>
  <c r="J95"/>
  <c r="K98"/>
  <c r="J99" i="12"/>
  <c r="J102" s="1"/>
  <c r="J106" s="1"/>
  <c r="J87"/>
  <c r="K87"/>
  <c r="K99"/>
  <c r="K102" s="1"/>
  <c r="K106" s="1"/>
  <c r="J69" i="9"/>
  <c r="K68"/>
  <c r="K69" s="1"/>
  <c r="J36" i="3"/>
  <c r="H36"/>
  <c r="H75" i="72"/>
  <c r="L103" i="19"/>
  <c r="L105"/>
  <c r="L110" s="1"/>
  <c r="J103"/>
  <c r="K102" l="1"/>
  <c r="S9" i="37"/>
  <c r="J110" i="19"/>
  <c r="J66" i="8"/>
  <c r="J68" s="1"/>
  <c r="K36" i="3"/>
  <c r="K52" i="72"/>
  <c r="K73" s="1"/>
  <c r="H76"/>
  <c r="J75"/>
  <c r="K75" s="1"/>
  <c r="S3" i="37"/>
  <c r="H88" i="22"/>
  <c r="H90" s="1"/>
  <c r="C102" i="19"/>
  <c r="N102" s="1"/>
  <c r="K103" l="1"/>
  <c r="K105"/>
  <c r="K110" s="1"/>
  <c r="S19" i="37"/>
  <c r="K88" i="22"/>
  <c r="K90" s="1"/>
  <c r="K76" i="72"/>
  <c r="J88" i="22"/>
  <c r="J90" s="1"/>
  <c r="J76" i="72"/>
  <c r="C103" i="19"/>
  <c r="C105" s="1"/>
  <c r="C110" s="1"/>
  <c r="N103"/>
  <c r="N105"/>
</calcChain>
</file>

<file path=xl/comments1.xml><?xml version="1.0" encoding="utf-8"?>
<comments xmlns="http://schemas.openxmlformats.org/spreadsheetml/2006/main">
  <authors>
    <author>Debbie Wagar</author>
  </authors>
  <commentList>
    <comment ref="P3" authorId="0">
      <text>
        <r>
          <rPr>
            <b/>
            <sz val="9"/>
            <color indexed="81"/>
            <rFont val="Tahoma"/>
            <family val="2"/>
          </rPr>
          <t>Debbie Wagar:</t>
        </r>
        <r>
          <rPr>
            <sz val="9"/>
            <color indexed="81"/>
            <rFont val="Tahoma"/>
            <family val="2"/>
          </rPr>
          <t xml:space="preserve">
Updated for OPSRP General Employee rate starting 7/1/2021</t>
        </r>
      </text>
    </comment>
  </commentList>
</comments>
</file>

<file path=xl/comments2.xml><?xml version="1.0" encoding="utf-8"?>
<comments xmlns="http://schemas.openxmlformats.org/spreadsheetml/2006/main">
  <authors>
    <author>Debbie Wagar</author>
  </authors>
  <commentList>
    <comment ref="H12" authorId="0">
      <text>
        <r>
          <rPr>
            <b/>
            <sz val="9"/>
            <color indexed="81"/>
            <rFont val="Tahoma"/>
            <family val="2"/>
          </rPr>
          <t>Debbie Wagar:</t>
        </r>
        <r>
          <rPr>
            <sz val="9"/>
            <color indexed="81"/>
            <rFont val="Tahoma"/>
            <family val="2"/>
          </rPr>
          <t xml:space="preserve">
I took the $600,000 loan out of this line item - add transfers in for repayment to this line</t>
        </r>
      </text>
    </comment>
  </commentList>
</comments>
</file>

<file path=xl/sharedStrings.xml><?xml version="1.0" encoding="utf-8"?>
<sst xmlns="http://schemas.openxmlformats.org/spreadsheetml/2006/main" count="1515" uniqueCount="581">
  <si>
    <t>CITY OF ADAIR VILLAGE ANNUAL BUDGET</t>
  </si>
  <si>
    <t>ADOPTED</t>
  </si>
  <si>
    <t>PROPOSED</t>
  </si>
  <si>
    <t xml:space="preserve">BUDGET </t>
  </si>
  <si>
    <t>COUNCIL</t>
  </si>
  <si>
    <t xml:space="preserve"> </t>
  </si>
  <si>
    <t>Beginning Fund Balance</t>
  </si>
  <si>
    <t>Franchise Fees</t>
  </si>
  <si>
    <t>Grant - Planning</t>
  </si>
  <si>
    <t>New Connections</t>
  </si>
  <si>
    <t>Interest Income</t>
  </si>
  <si>
    <t>Liquor Tax</t>
  </si>
  <si>
    <t>Miscellaneous Revenue</t>
  </si>
  <si>
    <t>Planning and Zoning Fees</t>
  </si>
  <si>
    <t>Property Tax - Current Year</t>
  </si>
  <si>
    <t>Property Tax - Prior Years</t>
  </si>
  <si>
    <t>Revenue Sharing</t>
  </si>
  <si>
    <t>TOTAL REVENUES</t>
  </si>
  <si>
    <t>EXPENDITURES</t>
  </si>
  <si>
    <t>Administration /Planning</t>
  </si>
  <si>
    <t>Non-Departmental</t>
  </si>
  <si>
    <t>Parks</t>
  </si>
  <si>
    <t>Subtotal department expenditures</t>
  </si>
  <si>
    <t>Miscellaneous</t>
  </si>
  <si>
    <t>Transfers****</t>
  </si>
  <si>
    <t>Subtotal Transfers</t>
  </si>
  <si>
    <t>Contingencies</t>
  </si>
  <si>
    <t>UNAPPROPRIATED ENDING BAL</t>
  </si>
  <si>
    <t>TOTAL EXPENDITURES</t>
  </si>
  <si>
    <t>Personal Services</t>
  </si>
  <si>
    <t>City Administrator</t>
  </si>
  <si>
    <t>Subtotal Personal Services</t>
  </si>
  <si>
    <t>Material and Services</t>
  </si>
  <si>
    <t>City Attorney</t>
  </si>
  <si>
    <t>City Engineer</t>
  </si>
  <si>
    <t>City Planner</t>
  </si>
  <si>
    <t>Dues</t>
  </si>
  <si>
    <t>Postage</t>
  </si>
  <si>
    <t>Publication and Legal Notices</t>
  </si>
  <si>
    <t>Supplies</t>
  </si>
  <si>
    <t>Travel and Training</t>
  </si>
  <si>
    <t>Telephone</t>
  </si>
  <si>
    <t>Subtotal Materials and services</t>
  </si>
  <si>
    <t>Cigarette  Tax</t>
  </si>
  <si>
    <t>COMM</t>
  </si>
  <si>
    <t>Refunds</t>
  </si>
  <si>
    <t xml:space="preserve">       CITY OF ADAIR VILLAGE ANNUAL BUDGET</t>
  </si>
  <si>
    <t xml:space="preserve">     GENERAL FUND - ADMINISTRATION &amp; PLANNING</t>
  </si>
  <si>
    <t>MATERIALS AND SERVICES</t>
  </si>
  <si>
    <t>Subtotal Materials and Services</t>
  </si>
  <si>
    <t xml:space="preserve">GRAND TOTAL </t>
  </si>
  <si>
    <t>Adm/Plng</t>
  </si>
  <si>
    <t>Water</t>
  </si>
  <si>
    <t>Street</t>
  </si>
  <si>
    <t xml:space="preserve">ACTUAL </t>
  </si>
  <si>
    <t>Subtotal Capital Outlay</t>
  </si>
  <si>
    <t>BUDGET</t>
  </si>
  <si>
    <t>MATERIALS &amp; SERVICES</t>
  </si>
  <si>
    <t>Audit Services</t>
  </si>
  <si>
    <t>Dues (organizational)</t>
  </si>
  <si>
    <t>Election Fees</t>
  </si>
  <si>
    <t>Equipment Maintenance and Repair</t>
  </si>
  <si>
    <t>Insurance</t>
  </si>
  <si>
    <t>Mayor and Council Expenses</t>
  </si>
  <si>
    <t>Public Safety</t>
  </si>
  <si>
    <t>Publications and Legal Notices</t>
  </si>
  <si>
    <t>Security Alarm</t>
  </si>
  <si>
    <t>Surety Bonds</t>
  </si>
  <si>
    <t>Subtotal Materials &amp; Services</t>
  </si>
  <si>
    <t>CAPITAL OUTLAY</t>
  </si>
  <si>
    <t xml:space="preserve">Building Improvements (Remodel) </t>
  </si>
  <si>
    <t xml:space="preserve">Total </t>
  </si>
  <si>
    <t>Contract Services</t>
  </si>
  <si>
    <t>Youth Activities</t>
  </si>
  <si>
    <t>Park Improvements</t>
  </si>
  <si>
    <t>Park Landscaping</t>
  </si>
  <si>
    <t xml:space="preserve">Building Improvements </t>
  </si>
  <si>
    <t>Park Equipment</t>
  </si>
  <si>
    <t xml:space="preserve">Subtotal Capital Outlay </t>
  </si>
  <si>
    <t>Interest on Investments</t>
  </si>
  <si>
    <t>`</t>
  </si>
  <si>
    <t xml:space="preserve">General Fund </t>
  </si>
  <si>
    <t xml:space="preserve">Water Fund </t>
  </si>
  <si>
    <t>General Fund Equipment</t>
  </si>
  <si>
    <t>Water System and Plant</t>
  </si>
  <si>
    <t>Wastewater System and Plant</t>
  </si>
  <si>
    <t>CITY</t>
  </si>
  <si>
    <t>Engineer</t>
  </si>
  <si>
    <t>Equipment Rental</t>
  </si>
  <si>
    <t>System Maintenance and Repair</t>
  </si>
  <si>
    <t>Storm Drain Improvements</t>
  </si>
  <si>
    <t>Contingency</t>
  </si>
  <si>
    <t>State Highway Tax</t>
  </si>
  <si>
    <t>System Development Fund Transfer</t>
  </si>
  <si>
    <t>Audit</t>
  </si>
  <si>
    <t>Engineering</t>
  </si>
  <si>
    <t>Street Improvements</t>
  </si>
  <si>
    <t>Street Signs</t>
  </si>
  <si>
    <t>Street Sweeping</t>
  </si>
  <si>
    <t>Vehicle Fuel and Maintenance</t>
  </si>
  <si>
    <t>Capital Outlay</t>
  </si>
  <si>
    <t>Street Improvement Charges</t>
  </si>
  <si>
    <t>Water Improvement Charges</t>
  </si>
  <si>
    <t>Sewer Improvement Charges</t>
  </si>
  <si>
    <t>Water Reimbursement Charges</t>
  </si>
  <si>
    <t>Sewer Reimbursement Charges</t>
  </si>
  <si>
    <t>SDC fees - Other</t>
  </si>
  <si>
    <t>Total SDC Charges</t>
  </si>
  <si>
    <t>Transfers</t>
  </si>
  <si>
    <t>To Wastewater Debt Service</t>
  </si>
  <si>
    <t>To Water Fund</t>
  </si>
  <si>
    <t>To Wastewater Fund</t>
  </si>
  <si>
    <t>To Street Fund</t>
  </si>
  <si>
    <t>Total Transfers</t>
  </si>
  <si>
    <t>WASTEWATER FUND</t>
  </si>
  <si>
    <t>Sewer User Fees</t>
  </si>
  <si>
    <t>Miscellaneous Revenues</t>
  </si>
  <si>
    <t>Refund/Rebates</t>
  </si>
  <si>
    <t>Chemicals</t>
  </si>
  <si>
    <t>Permits</t>
  </si>
  <si>
    <t xml:space="preserve">System Maintenance </t>
  </si>
  <si>
    <t>Wastewater Fund -- continued</t>
  </si>
  <si>
    <t>Plant and Equipment</t>
  </si>
  <si>
    <t>DEBT SERVICE</t>
  </si>
  <si>
    <t>1997 Revenue Bonds -- USB</t>
  </si>
  <si>
    <t>Subtotal Debt Service</t>
  </si>
  <si>
    <t>WATER FUND</t>
  </si>
  <si>
    <t>Metered Water Sales</t>
  </si>
  <si>
    <t xml:space="preserve">Outside Water Assessments </t>
  </si>
  <si>
    <t>Reconnect Fees</t>
  </si>
  <si>
    <t xml:space="preserve">Laboratory Analysis </t>
  </si>
  <si>
    <t>Meters</t>
  </si>
  <si>
    <t>1980 Water Revenue P &amp; I</t>
  </si>
  <si>
    <t>1997 Water Revenue Bonds P &amp; I</t>
  </si>
  <si>
    <t>TRANSFERS</t>
  </si>
  <si>
    <t>To Reserve Fund</t>
  </si>
  <si>
    <t>Subtotal  Transfers</t>
  </si>
  <si>
    <t>Parks-Youth Activities</t>
  </si>
  <si>
    <t>Equipment-Maint. &amp; Repair</t>
  </si>
  <si>
    <t>Municipal Court</t>
  </si>
  <si>
    <t>Non-Dept</t>
  </si>
  <si>
    <t>Mileage</t>
  </si>
  <si>
    <t>Vehicle Fuel &amp; Maintenance</t>
  </si>
  <si>
    <t xml:space="preserve">  CS-Parks</t>
  </si>
  <si>
    <t>Material &amp; Service</t>
  </si>
  <si>
    <t>Code</t>
  </si>
  <si>
    <t>Building Improvements</t>
  </si>
  <si>
    <t>GENERAL FUND - COMBINED REVENUES</t>
  </si>
  <si>
    <t>GENERAL FUND - COMBINED EXPENSES</t>
  </si>
  <si>
    <t>PS</t>
  </si>
  <si>
    <t>TOTAL</t>
  </si>
  <si>
    <t>Utilities</t>
  </si>
  <si>
    <t>Equipment-Small Purchase</t>
  </si>
  <si>
    <t>Weapons</t>
  </si>
  <si>
    <t>Uniforms &amp; Maintenance</t>
  </si>
  <si>
    <t>Vehicles-Gas &amp; Oil</t>
  </si>
  <si>
    <t>Equipment</t>
  </si>
  <si>
    <t>Vehicles</t>
  </si>
  <si>
    <t>Equipment-Purchase Small</t>
  </si>
  <si>
    <t>Contracted Services</t>
  </si>
  <si>
    <t>Total GF</t>
  </si>
  <si>
    <t>Public
Safety</t>
  </si>
  <si>
    <t>Maintenance-Building &amp; Parks</t>
  </si>
  <si>
    <t xml:space="preserve">Equipment-Purchase </t>
  </si>
  <si>
    <t>Reserve Fund</t>
  </si>
  <si>
    <t>Maintenance-Building/Parks</t>
  </si>
  <si>
    <t>Equipment-Purchase</t>
  </si>
  <si>
    <t>GMAC Bond</t>
  </si>
  <si>
    <t>Improvements-Buildings &amp; Parks</t>
  </si>
  <si>
    <t>Weapons &amp; Ammunition</t>
  </si>
  <si>
    <t>Uniforms</t>
  </si>
  <si>
    <t>Transfer In - Reserve</t>
  </si>
  <si>
    <t>Wastewater Improvements</t>
  </si>
  <si>
    <t>Building</t>
  </si>
  <si>
    <t>Water Improvements</t>
  </si>
  <si>
    <t>Banking Charges</t>
  </si>
  <si>
    <t>Reserve</t>
  </si>
  <si>
    <t xml:space="preserve">Contract Services </t>
  </si>
  <si>
    <t>Storm Drain Assessments</t>
  </si>
  <si>
    <t>Admin/
Planning</t>
  </si>
  <si>
    <t>Bank Charges</t>
  </si>
  <si>
    <t>Lab Analysis</t>
  </si>
  <si>
    <t>GF-PS</t>
  </si>
  <si>
    <t>General Fund Building Improvements</t>
  </si>
  <si>
    <t>Storm Drain</t>
  </si>
  <si>
    <t>To  Reserve Fund</t>
  </si>
  <si>
    <t>Streets</t>
  </si>
  <si>
    <t>SDC</t>
  </si>
  <si>
    <t>Wastewater</t>
  </si>
  <si>
    <t>Buildings</t>
  </si>
  <si>
    <t>Wastewater Facilities</t>
  </si>
  <si>
    <t>Debt Service</t>
  </si>
  <si>
    <t>TRANSFERS IN</t>
  </si>
  <si>
    <t>Street Fund</t>
  </si>
  <si>
    <t>Wastewater Fund</t>
  </si>
  <si>
    <t>Water Fund</t>
  </si>
  <si>
    <t>TOTAL-ALL CATEGORIES</t>
  </si>
  <si>
    <t>Contingencies &amp; Unappropriated Balances</t>
  </si>
  <si>
    <t>Taxes</t>
  </si>
  <si>
    <t>Salary</t>
  </si>
  <si>
    <t>DRE Grant</t>
  </si>
  <si>
    <t>ODOT Traffic Safety Grant</t>
  </si>
  <si>
    <t>Carry Forward</t>
  </si>
  <si>
    <t xml:space="preserve">Property Taxes </t>
  </si>
  <si>
    <t>Property Taxes</t>
  </si>
  <si>
    <t>Vehicles-Fuel</t>
  </si>
  <si>
    <t>GENERAL FUND - COMBINED EXPENSES BY SUB-FUND</t>
  </si>
  <si>
    <t>Grant - Park &amp; Rec Program</t>
  </si>
  <si>
    <t>Finance Clerk</t>
  </si>
  <si>
    <t>Transit</t>
  </si>
  <si>
    <t>Events</t>
  </si>
  <si>
    <t>Public Works Supervisor</t>
  </si>
  <si>
    <t>GF-Admin</t>
  </si>
  <si>
    <t>GF-Bldg</t>
  </si>
  <si>
    <t>GF-Parks</t>
  </si>
  <si>
    <t>SD</t>
  </si>
  <si>
    <t>Str</t>
  </si>
  <si>
    <t>WW</t>
  </si>
  <si>
    <t>W</t>
  </si>
  <si>
    <t>Utility/Court Clerk</t>
  </si>
  <si>
    <t>Staffing</t>
  </si>
  <si>
    <t>FTE</t>
  </si>
  <si>
    <t>GF</t>
  </si>
  <si>
    <t>Pool Account</t>
  </si>
  <si>
    <t>PERS</t>
  </si>
  <si>
    <t>Violation Fines</t>
  </si>
  <si>
    <t>Rec Coordinator</t>
  </si>
  <si>
    <t>Fines Paid for Violations</t>
  </si>
  <si>
    <t>Water Fund -- continued</t>
  </si>
  <si>
    <t>Unappropriated End Balance</t>
  </si>
  <si>
    <t>Events-Parks &amp; Rec</t>
  </si>
  <si>
    <t xml:space="preserve">  CS-Engineering</t>
  </si>
  <si>
    <t>Equipment Rental/Lease</t>
  </si>
  <si>
    <t>Water Facilities-1980</t>
  </si>
  <si>
    <t>Equipment Purchase</t>
  </si>
  <si>
    <t>Utility Worker III</t>
  </si>
  <si>
    <t>Utility Worker I</t>
  </si>
  <si>
    <t>Recreation Coordinator</t>
  </si>
  <si>
    <t>POSITION</t>
  </si>
  <si>
    <t>Room Rental</t>
  </si>
  <si>
    <t xml:space="preserve">Lease-Building </t>
  </si>
  <si>
    <t xml:space="preserve">Lease-Property </t>
  </si>
  <si>
    <t>Leases-Property Tax</t>
  </si>
  <si>
    <t>Total</t>
  </si>
  <si>
    <t>Total Capital Outlay</t>
  </si>
  <si>
    <t>CONTINGENCY</t>
  </si>
  <si>
    <t>Total Transfers In</t>
  </si>
  <si>
    <t>TRANSFERS OUT</t>
  </si>
  <si>
    <t>Total Transfers Out</t>
  </si>
  <si>
    <t>Transfer to General Fund</t>
  </si>
  <si>
    <t>2013-14</t>
  </si>
  <si>
    <t>Permits-CET/SchoolDistrict</t>
  </si>
  <si>
    <t>Building Permits-School Dist. CET</t>
  </si>
  <si>
    <t>Equipment-Rental/Lease</t>
  </si>
  <si>
    <t>Taxes (property taxes on leased property)</t>
  </si>
  <si>
    <t>Equipment-Lease &amp; Rental</t>
  </si>
  <si>
    <t>Equipment Maintenance</t>
  </si>
  <si>
    <t>Partnership Payments</t>
  </si>
  <si>
    <t>Bank Charges-NSF</t>
  </si>
  <si>
    <t>Equipment-Lease/Rental</t>
  </si>
  <si>
    <t>Health Insurance</t>
  </si>
  <si>
    <t>FICA-Med</t>
  </si>
  <si>
    <t>FICA-SocSec</t>
  </si>
  <si>
    <t>OR SUTA</t>
  </si>
  <si>
    <t>OR-WBF</t>
  </si>
  <si>
    <t>SAIF</t>
  </si>
  <si>
    <t>5000 · Personal Services</t>
  </si>
  <si>
    <t>Total 5010 · City Administrator</t>
  </si>
  <si>
    <t>Total 5016 · Utility/Court Clerk</t>
  </si>
  <si>
    <t>Total 5018 · Finance Clerk</t>
  </si>
  <si>
    <t>Total 5019 · Admin Clerk</t>
  </si>
  <si>
    <t>Total 5025 · Summer Program Coordinator</t>
  </si>
  <si>
    <t>Total 5050 · Public Works Supervisor</t>
  </si>
  <si>
    <t>Total 5052 · Utility Worker III</t>
  </si>
  <si>
    <t>Total 5054 · Utility Worker II</t>
  </si>
  <si>
    <t>Total 5058 · Utility Worker I</t>
  </si>
  <si>
    <t>Retirement</t>
  </si>
  <si>
    <t>TAXES</t>
  </si>
  <si>
    <t>Tax Total</t>
  </si>
  <si>
    <t>Hourly</t>
  </si>
  <si>
    <t>Health 
Insurance</t>
  </si>
  <si>
    <t>Yearly
Wage</t>
  </si>
  <si>
    <t>Retirement Benefits</t>
  </si>
  <si>
    <t>Cost</t>
  </si>
  <si>
    <t>Total Salary</t>
  </si>
  <si>
    <t>Administrative Clerk</t>
  </si>
  <si>
    <t>TOTAL-GF</t>
  </si>
  <si>
    <t xml:space="preserve">Wastewater Fund </t>
  </si>
  <si>
    <t>Transfer to Wastewater Fund</t>
  </si>
  <si>
    <t>Transfer to Water</t>
  </si>
  <si>
    <t>TRANSFERS****</t>
  </si>
  <si>
    <t xml:space="preserve">     Net Revenues</t>
  </si>
  <si>
    <t>Deposits for New Service</t>
  </si>
  <si>
    <t xml:space="preserve">     New Revenues</t>
  </si>
  <si>
    <t>Ad/Pl</t>
  </si>
  <si>
    <t>Pk</t>
  </si>
  <si>
    <t>Public Works-Parks</t>
  </si>
  <si>
    <t>2012 DEQ WWFP Loan</t>
  </si>
  <si>
    <t>Health Benefits</t>
  </si>
  <si>
    <t>Plant &amp; Equipment</t>
  </si>
  <si>
    <t>2014-15</t>
  </si>
  <si>
    <t>Maintenance-Buildings &amp; Parks</t>
  </si>
  <si>
    <t xml:space="preserve">     GENERAL FUND - PARKS</t>
  </si>
  <si>
    <t xml:space="preserve">     GENERAL FUND - PUBLIC SAFETY</t>
  </si>
  <si>
    <t>STREET FUND</t>
  </si>
  <si>
    <t>STORM DRAIN FUND</t>
  </si>
  <si>
    <t>RESERVE FUND</t>
  </si>
  <si>
    <t>Improvements-Buildings</t>
  </si>
  <si>
    <t xml:space="preserve">Maintenance-Buildings </t>
  </si>
  <si>
    <t>1 - This represents 5% of the City Administrator's time.</t>
  </si>
  <si>
    <t>Permits-State Surcharge</t>
  </si>
  <si>
    <t>Improvements -Buildings &amp; Parks</t>
  </si>
  <si>
    <t>Sale of Assets</t>
  </si>
  <si>
    <t>2. This amount would cover a contract with Benton County Sheriff's Office for 10 hours per week of directed patrol.</t>
  </si>
  <si>
    <t>Compliance Surcharge</t>
  </si>
  <si>
    <t>Public Works CIP 5 Years</t>
  </si>
  <si>
    <t xml:space="preserve">Water </t>
  </si>
  <si>
    <t>Totals</t>
  </si>
  <si>
    <t xml:space="preserve">Vehicle: </t>
  </si>
  <si>
    <t xml:space="preserve">Pole Barn </t>
  </si>
  <si>
    <t xml:space="preserve">Generator:  </t>
  </si>
  <si>
    <t xml:space="preserve">Turbidity Meters: </t>
  </si>
  <si>
    <t xml:space="preserve">Chemical Pumps: </t>
  </si>
  <si>
    <t>Transmission Line Valves</t>
  </si>
  <si>
    <t>ADA Improvements</t>
  </si>
  <si>
    <t xml:space="preserve">Borders/Play Structures: </t>
  </si>
  <si>
    <t>2015-16</t>
  </si>
  <si>
    <t>2016-17</t>
  </si>
  <si>
    <t>2017-18</t>
  </si>
  <si>
    <t>2018-19</t>
  </si>
  <si>
    <t>2019-20</t>
  </si>
  <si>
    <t>Grant-Special Transportation Fund</t>
  </si>
  <si>
    <t>Total 
compensation</t>
  </si>
  <si>
    <t>Assistant City Administrator</t>
  </si>
  <si>
    <t>RESERVE</t>
  </si>
  <si>
    <t>Fund Reserves</t>
  </si>
  <si>
    <t xml:space="preserve">Buildings </t>
  </si>
  <si>
    <t>Fund Reserve</t>
  </si>
  <si>
    <t>Capital Improvement Program</t>
  </si>
  <si>
    <t xml:space="preserve">Play Structures: </t>
  </si>
  <si>
    <t>Subtotal Fund Reserves</t>
  </si>
  <si>
    <t>Personal Services (Overall Salaries)</t>
  </si>
  <si>
    <t>Improvements (by Fund)</t>
  </si>
  <si>
    <t xml:space="preserve">      </t>
  </si>
  <si>
    <t>$12,000 into Fund Reserve every year; Capital Outlay every other year.</t>
  </si>
  <si>
    <t>Total spent each  year</t>
  </si>
  <si>
    <t>Total budgeted per  year</t>
  </si>
  <si>
    <t xml:space="preserve"> Start </t>
  </si>
  <si>
    <t xml:space="preserve"> Step 2 </t>
  </si>
  <si>
    <t xml:space="preserve"> Step 3 </t>
  </si>
  <si>
    <t xml:space="preserve"> Step 4 </t>
  </si>
  <si>
    <t xml:space="preserve"> Step 5 </t>
  </si>
  <si>
    <t xml:space="preserve"> Step 6 </t>
  </si>
  <si>
    <t>Assistant City Recorder</t>
  </si>
  <si>
    <t>Utility Worker II</t>
  </si>
  <si>
    <t>Records Clerk</t>
  </si>
  <si>
    <t>Leases-Utilities</t>
  </si>
  <si>
    <t xml:space="preserve">1- Code Compliance Officer is fully funded here. </t>
  </si>
  <si>
    <t>Subtotal Fund Reserve</t>
  </si>
  <si>
    <t xml:space="preserve">TOTAL </t>
  </si>
  <si>
    <t>Total Appropriations</t>
  </si>
  <si>
    <t>TOTAL APPROPRIATED</t>
  </si>
  <si>
    <t xml:space="preserve"> or $0.13 per square foot of impervious surface</t>
  </si>
  <si>
    <t>SubtotalFund Reserve</t>
  </si>
  <si>
    <t>FUND RESERVE</t>
  </si>
  <si>
    <t>1- This will be a $15,000 project to be purchased in 2018-19 budget year.</t>
  </si>
  <si>
    <t>2020-21</t>
  </si>
  <si>
    <t>IFA Water Loan</t>
  </si>
  <si>
    <t>1- Compliance fees cover administrative costs for the SDC program.</t>
  </si>
  <si>
    <t>The present SDC costs are listed below.</t>
  </si>
  <si>
    <t>General Fund</t>
  </si>
  <si>
    <t>Accounting Software</t>
  </si>
  <si>
    <t>Multi-Fund</t>
  </si>
  <si>
    <t xml:space="preserve"> Accounting Software</t>
  </si>
  <si>
    <t>Ending</t>
  </si>
  <si>
    <t>Building and Electrical Permits</t>
  </si>
  <si>
    <t>APPROVED</t>
  </si>
  <si>
    <t xml:space="preserve">ADOPTED </t>
  </si>
  <si>
    <t xml:space="preserve">     GENERAL FUND - NONDEPARTMENTAL</t>
  </si>
  <si>
    <t>SYSTEM DEVELOPMENT CHARGE FUND</t>
  </si>
  <si>
    <t>Engineering Services</t>
  </si>
  <si>
    <t>Approved:</t>
  </si>
  <si>
    <t>Adopted:</t>
  </si>
  <si>
    <t>Building Permits-Benton County/State Surcharge</t>
  </si>
  <si>
    <t>CET-Corvallis</t>
  </si>
  <si>
    <t>Building Permits-Benton County Building Dep't/State Surcharge</t>
  </si>
  <si>
    <t>Barracks Building Loan</t>
  </si>
  <si>
    <t>Subtotal debt service</t>
  </si>
  <si>
    <t>Barracks Building</t>
  </si>
  <si>
    <t>Principal</t>
  </si>
  <si>
    <t>Interest</t>
  </si>
  <si>
    <t>Term</t>
  </si>
  <si>
    <t>years</t>
  </si>
  <si>
    <t>Princ Pmt</t>
  </si>
  <si>
    <t>Balance</t>
  </si>
  <si>
    <t>Total Pmt</t>
  </si>
  <si>
    <t>IFA Loan</t>
  </si>
  <si>
    <t>Engineering Contract</t>
  </si>
  <si>
    <t>Contracted Services - Brownfield study/cleanup</t>
  </si>
  <si>
    <t>See "GF-Debt Svc" tab</t>
  </si>
  <si>
    <t>Reserve for Future Expenditure</t>
  </si>
  <si>
    <t>RESERVE FOR FUTURE EXPENDITURE</t>
  </si>
  <si>
    <t>Proposed Rate Increase</t>
  </si>
  <si>
    <t>RESOURCES</t>
  </si>
  <si>
    <t>TOTAL RESOURCES</t>
  </si>
  <si>
    <t>PERSONNEL SERVICES</t>
  </si>
  <si>
    <t>Subtotal Personnel Services</t>
  </si>
  <si>
    <t xml:space="preserve">Subtotal Personnel Services </t>
  </si>
  <si>
    <t>Total Resources</t>
  </si>
  <si>
    <t>Total Beginning Fund Balances</t>
  </si>
  <si>
    <t>Beginning Fund Balance:  Water (Impr. @ .95)</t>
  </si>
  <si>
    <t>Beginning Fund Balance:  Street -- Impr.</t>
  </si>
  <si>
    <t>Beginning Fund Balance:  Wastewater (Impr. @ .66)</t>
  </si>
  <si>
    <t>Beginning Fund Balance:  Storm Drain Improvements</t>
  </si>
  <si>
    <t>Beginning Fund Balance:  Parks Improvements</t>
  </si>
  <si>
    <t>Parks Summer Program Coordinator Asst</t>
  </si>
  <si>
    <t>Parks Summer Program Coordinator Asst.</t>
  </si>
  <si>
    <t>Parks Summer Prog. Coord. Asst.</t>
  </si>
  <si>
    <t>Proceeds From Loan</t>
  </si>
  <si>
    <t>1 - State mandated operating permits</t>
  </si>
  <si>
    <t>1- $18,750 for Utilities for City-owned buildings.  Same revenue amount shown as Lease-Utilities (Combined GF Revenues-Footnote 4)</t>
  </si>
  <si>
    <t>To Reserve - Accounting Software</t>
  </si>
  <si>
    <t>Subtotal Reserve</t>
  </si>
  <si>
    <t>RESERVES</t>
  </si>
  <si>
    <t>Transfer to Reserve Fund:</t>
  </si>
  <si>
    <t>Street Improvments</t>
  </si>
  <si>
    <t>Total Transfer to Reserve Fund</t>
  </si>
  <si>
    <t>Reserve Fund - Parks</t>
  </si>
  <si>
    <t>Reserve Fund - Accounting Software</t>
  </si>
  <si>
    <r>
      <t xml:space="preserve">    </t>
    </r>
    <r>
      <rPr>
        <i/>
        <sz val="12"/>
        <rFont val="Arial"/>
        <family val="2"/>
      </rPr>
      <t>Income minus Beginning Fund Balance</t>
    </r>
  </si>
  <si>
    <t>Rate Stabilization</t>
  </si>
  <si>
    <t>Parks Improvements</t>
  </si>
  <si>
    <t>Police vehicles</t>
  </si>
  <si>
    <t>Less:  Transfers</t>
  </si>
  <si>
    <t>Amount to Fund Summary</t>
  </si>
  <si>
    <t>1 -  Sweep 5 times per year.</t>
  </si>
  <si>
    <t xml:space="preserve">                                        Wage Schedule</t>
  </si>
  <si>
    <t>Storm Drain Fund</t>
  </si>
  <si>
    <t>General Fund - Barracks</t>
  </si>
  <si>
    <t>State Hwy Tax</t>
  </si>
  <si>
    <t>Charges for Services</t>
  </si>
  <si>
    <t>Transfers In</t>
  </si>
  <si>
    <t>System Development Charges</t>
  </si>
  <si>
    <t>All Funds Combined</t>
  </si>
  <si>
    <t>Resources</t>
  </si>
  <si>
    <t>Public Works III</t>
  </si>
  <si>
    <t>Includes marijuana tax beginning FY 2019</t>
  </si>
  <si>
    <t>Debt Svc</t>
  </si>
  <si>
    <t>per fiscal year</t>
  </si>
  <si>
    <t>Paid off</t>
  </si>
  <si>
    <t>Storm Drain - additional fee</t>
  </si>
  <si>
    <t>1- Leases on the Coffee Shop and the old Firehouse.</t>
  </si>
  <si>
    <t>2- Leases on AVIS and small farm sites.</t>
  </si>
  <si>
    <t>3- Property taxes on all City property under lease.</t>
  </si>
  <si>
    <t>Reserve Fund - Public Safety</t>
  </si>
  <si>
    <t>Admin/Finance Assistant</t>
  </si>
  <si>
    <t>Prop Budget</t>
  </si>
  <si>
    <t>Wastewater Improvement Charges</t>
  </si>
  <si>
    <t>Wastewater Reimbursement Charges</t>
  </si>
  <si>
    <t>Street Maintenance</t>
  </si>
  <si>
    <t>Beginning Fund Balance/Net Working Capital</t>
  </si>
  <si>
    <t>Fees, Licenses, Permits, Fines, Assessments &amp; Other Service Charges</t>
  </si>
  <si>
    <t>Federal, State and all Other Grants, Gifts, Allocations and Donations</t>
  </si>
  <si>
    <t xml:space="preserve">Revenue from Bonds and Other Debt </t>
  </si>
  <si>
    <t>Interfund Transfers / Internal Service Reimbursements</t>
  </si>
  <si>
    <t>All Other Resources Except Current Year Property Taxes</t>
  </si>
  <si>
    <t>Current Year Property Taxes Estimated to be Received</t>
  </si>
  <si>
    <t>Planning Consultant</t>
  </si>
  <si>
    <t xml:space="preserve">Barracks Building - </t>
  </si>
  <si>
    <t>Beginning Fund Balance:  Compliance Surcharge</t>
  </si>
  <si>
    <t>Software Hosting Fees</t>
  </si>
  <si>
    <t>2019 - 2024</t>
  </si>
  <si>
    <t>2021-22</t>
  </si>
  <si>
    <t>2022-23</t>
  </si>
  <si>
    <t>2023-24</t>
  </si>
  <si>
    <t>On Hold 2019-20</t>
  </si>
  <si>
    <t>2024 Replacement</t>
  </si>
  <si>
    <t>Purchase one FY 2020</t>
  </si>
  <si>
    <t>Budgeted directly in Fund</t>
  </si>
  <si>
    <t>Fully Funded</t>
  </si>
  <si>
    <t>Software Monthly Fee:</t>
  </si>
  <si>
    <t>In Reserve Fund</t>
  </si>
  <si>
    <t>All parks</t>
  </si>
  <si>
    <t>All Public Safety Vehicles</t>
  </si>
  <si>
    <t>Transfer in from Reserve Fund</t>
  </si>
  <si>
    <t>Return of debt reserve</t>
  </si>
  <si>
    <t>Audit:</t>
  </si>
  <si>
    <t>Property Taxes - Rental Properties</t>
  </si>
  <si>
    <t>Transfer in from Reserve</t>
  </si>
  <si>
    <t>Capital outlay</t>
  </si>
  <si>
    <t>Reserve Fund - Non-departmental</t>
  </si>
  <si>
    <t>Public Works II</t>
  </si>
  <si>
    <t>Residential Rental</t>
  </si>
  <si>
    <t>Tangent Contract</t>
  </si>
  <si>
    <t>Contracted Services - Tangent Contract</t>
  </si>
  <si>
    <t>Contract Services - Tangent Contract</t>
  </si>
  <si>
    <t>To Water Fund (Interfund Loan Repayment)</t>
  </si>
  <si>
    <t>To SDC Fund (Interfund Loan Repayment)</t>
  </si>
  <si>
    <t>Transfer - General Fund Debt Repayment</t>
  </si>
  <si>
    <t>Total 
2020-21</t>
  </si>
  <si>
    <t>TOTAL TRANSFERS</t>
  </si>
  <si>
    <t>New Pump Station</t>
  </si>
  <si>
    <t>2022
Wage</t>
  </si>
  <si>
    <t>Note that Personnel Services are linked to other tabs</t>
  </si>
  <si>
    <t xml:space="preserve">   do not hard-code numbers</t>
  </si>
  <si>
    <t>To General Fund</t>
  </si>
  <si>
    <t>2- These charges include the income from 5 new residential homes.</t>
  </si>
  <si>
    <t>2 -  Street improvement projects generally estimated for every other year, but none for 2021-22.</t>
  </si>
  <si>
    <t>Paid</t>
  </si>
  <si>
    <t>Due FY2022</t>
  </si>
  <si>
    <t>Due FY2023</t>
  </si>
  <si>
    <t>Due FY2024</t>
  </si>
  <si>
    <t>Land Purchase</t>
  </si>
  <si>
    <t>Transient Lodging Tax</t>
  </si>
  <si>
    <t>SDC Administrative Fees</t>
  </si>
  <si>
    <t>Parks Grant</t>
  </si>
  <si>
    <t>Transfer In - Water Fund</t>
  </si>
  <si>
    <t>Transfer In - SDC Fund</t>
  </si>
  <si>
    <t>2020 expenditures need some review</t>
  </si>
  <si>
    <t>Less:   Capital Outlay, Transfers and Debt Service</t>
  </si>
  <si>
    <t>4-Utilities went down once the store opened the restaurant (They pay their utilities now)</t>
  </si>
  <si>
    <t>Development Engineering</t>
  </si>
  <si>
    <t>FEMA Grant</t>
  </si>
  <si>
    <t>Hospital Hill Waterline Replacement (IFA)</t>
  </si>
  <si>
    <t>Total 
2021-22</t>
  </si>
  <si>
    <t>300-53001</t>
  </si>
  <si>
    <t>410-53001</t>
  </si>
  <si>
    <t>900-54006</t>
  </si>
  <si>
    <t>420-54005</t>
  </si>
  <si>
    <t>430-54004</t>
  </si>
  <si>
    <t>900-55100</t>
  </si>
  <si>
    <t>900-55XXX</t>
  </si>
  <si>
    <t>410-55600</t>
  </si>
  <si>
    <t>420-55600</t>
  </si>
  <si>
    <t>430-55600</t>
  </si>
  <si>
    <t>Personnel Services</t>
  </si>
  <si>
    <t>Small Cities Allotment</t>
  </si>
  <si>
    <t>To SDC Fund</t>
  </si>
  <si>
    <t>Contract Services-Tangent Contract</t>
  </si>
  <si>
    <t xml:space="preserve">  CS-Public Safety</t>
  </si>
  <si>
    <t>COVID Reimbursable Expenses</t>
  </si>
  <si>
    <t>Yes</t>
  </si>
  <si>
    <t>$8,209 return of debt reserve</t>
  </si>
  <si>
    <t>Small Cities Allotment (Street Fund)</t>
  </si>
  <si>
    <t>Grants</t>
  </si>
  <si>
    <t>P</t>
  </si>
  <si>
    <t>F</t>
  </si>
  <si>
    <t>A</t>
  </si>
  <si>
    <t>O</t>
  </si>
  <si>
    <t>Loan</t>
  </si>
  <si>
    <t>Trans</t>
  </si>
  <si>
    <t>Sub-total 2020</t>
  </si>
  <si>
    <t>Sub-total 2022</t>
  </si>
  <si>
    <t>Sub-total 2021</t>
  </si>
  <si>
    <t>Total 
2019-20</t>
  </si>
  <si>
    <t>Sewer</t>
  </si>
  <si>
    <t>Storm</t>
  </si>
  <si>
    <t>Pers/M/S</t>
  </si>
  <si>
    <t>Cap Out</t>
  </si>
  <si>
    <t>Debt</t>
  </si>
  <si>
    <t>Trans Out</t>
  </si>
  <si>
    <t>See Staff detail</t>
  </si>
  <si>
    <t>2022 Est</t>
  </si>
  <si>
    <t>Minimum wage is $13.50 per hour beginning 7/1/2022</t>
  </si>
  <si>
    <t>Last year it was $12.75</t>
  </si>
  <si>
    <t>This is a 5.9% Increase</t>
  </si>
  <si>
    <t>FISCAL YEAR 2022-2023</t>
  </si>
  <si>
    <t>COVID-19 Reimbursement</t>
  </si>
  <si>
    <t>N</t>
  </si>
  <si>
    <t>Engineering Consultant</t>
  </si>
  <si>
    <t>CERT Expenditures</t>
  </si>
  <si>
    <t>Insurance Reimbursable Expenses</t>
  </si>
  <si>
    <t>City Hall HVAC</t>
  </si>
  <si>
    <t>Parks in Perpetuity buyout</t>
  </si>
  <si>
    <t>1- This includes the contract for payroll services, property management , accounting and closeout support, copier lease, and HVAC contract.</t>
  </si>
  <si>
    <t>Urban Renewal Development</t>
  </si>
  <si>
    <t>75% of PW Truck</t>
  </si>
  <si>
    <t>Transmission Line Upgrade Project (FEMA)</t>
  </si>
  <si>
    <t>2- $50k for planning and $25k for architectural work</t>
  </si>
  <si>
    <t>Corvallis</t>
  </si>
  <si>
    <t>Albany</t>
  </si>
</sst>
</file>

<file path=xl/styles.xml><?xml version="1.0" encoding="utf-8"?>
<styleSheet xmlns="http://schemas.openxmlformats.org/spreadsheetml/2006/main">
  <numFmts count="2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.00_)"/>
    <numFmt numFmtId="166" formatCode="_(&quot;$&quot;* #,##0_);_(&quot;$&quot;* \(#,##0\);_(&quot;$&quot;* &quot;-&quot;??_);_(@_)"/>
    <numFmt numFmtId="167" formatCode="0_)"/>
    <numFmt numFmtId="168" formatCode="0.0%"/>
    <numFmt numFmtId="169" formatCode="_(* #,##0_);_(* \(#,##0\);_(* &quot;-&quot;??_);_(@_)"/>
    <numFmt numFmtId="170" formatCode="0.0"/>
    <numFmt numFmtId="171" formatCode="0.000"/>
    <numFmt numFmtId="172" formatCode="_(* #,##0.000_);_(* \(#,##0.000\);_(* &quot;-&quot;???_);_(@_)"/>
    <numFmt numFmtId="173" formatCode="#,##0.00;\-#,##0.00"/>
    <numFmt numFmtId="174" formatCode="_(* #,##0_);_(* \(#,##0\);_(* &quot;-&quot;???_);_(@_)"/>
    <numFmt numFmtId="175" formatCode="_(* #,##0.00000_);_(* \(#,##0.00000\);_(* &quot;-&quot;??_);_(@_)"/>
    <numFmt numFmtId="176" formatCode="_(* #,##0.000000_);_(* \(#,##0.000000\);_(* &quot;-&quot;??_);_(@_)"/>
    <numFmt numFmtId="177" formatCode="&quot;$&quot;#,##0"/>
    <numFmt numFmtId="178" formatCode="_(* #,##0.00000000000000000000000000_);_(* \(#,##0.00000000000000000000000000\);_(* &quot;-&quot;???_);_(@_)"/>
    <numFmt numFmtId="179" formatCode="0_);\(0\)"/>
    <numFmt numFmtId="181" formatCode="0.000%"/>
  </numFmts>
  <fonts count="6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i/>
      <sz val="11"/>
      <color indexed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color indexed="9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12"/>
      <name val="Arial"/>
      <family val="2"/>
    </font>
    <font>
      <b/>
      <vertAlign val="superscript"/>
      <sz val="12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i/>
      <sz val="11"/>
      <name val="Arial"/>
      <family val="2"/>
    </font>
    <font>
      <sz val="10"/>
      <color indexed="10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i/>
      <vertAlign val="superscript"/>
      <sz val="11"/>
      <name val="Arial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  <font>
      <b/>
      <sz val="10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Times New Roman"/>
      <family val="1"/>
    </font>
    <font>
      <i/>
      <sz val="10"/>
      <name val="Arial"/>
      <family val="2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4">
    <xf numFmtId="0" fontId="0" fillId="0" borderId="0" xfId="0"/>
    <xf numFmtId="0" fontId="2" fillId="0" borderId="0" xfId="0" applyFont="1"/>
    <xf numFmtId="1" fontId="4" fillId="0" borderId="0" xfId="0" applyNumberFormat="1" applyFont="1"/>
    <xf numFmtId="0" fontId="3" fillId="0" borderId="0" xfId="0" applyFont="1"/>
    <xf numFmtId="37" fontId="3" fillId="0" borderId="0" xfId="0" applyNumberFormat="1" applyFont="1" applyFill="1" applyProtection="1"/>
    <xf numFmtId="0" fontId="7" fillId="0" borderId="0" xfId="0" applyFont="1"/>
    <xf numFmtId="3" fontId="9" fillId="0" borderId="0" xfId="0" applyNumberFormat="1" applyFont="1"/>
    <xf numFmtId="3" fontId="9" fillId="0" borderId="0" xfId="0" applyNumberFormat="1" applyFont="1" applyFill="1"/>
    <xf numFmtId="3" fontId="11" fillId="0" borderId="0" xfId="0" applyNumberFormat="1" applyFont="1" applyAlignment="1" applyProtection="1">
      <alignment horizontal="center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Protection="1"/>
    <xf numFmtId="3" fontId="13" fillId="0" borderId="0" xfId="0" applyNumberFormat="1" applyFont="1" applyAlignment="1" applyProtection="1">
      <alignment horizontal="center"/>
    </xf>
    <xf numFmtId="3" fontId="11" fillId="0" borderId="0" xfId="0" applyNumberFormat="1" applyFont="1" applyFill="1" applyProtection="1"/>
    <xf numFmtId="3" fontId="14" fillId="0" borderId="0" xfId="0" applyNumberFormat="1" applyFont="1" applyFill="1" applyAlignment="1" applyProtection="1"/>
    <xf numFmtId="3" fontId="11" fillId="0" borderId="0" xfId="0" applyNumberFormat="1" applyFont="1" applyAlignment="1" applyProtection="1">
      <alignment horizontal="left"/>
    </xf>
    <xf numFmtId="3" fontId="8" fillId="0" borderId="0" xfId="0" applyNumberFormat="1" applyFont="1" applyAlignment="1">
      <alignment horizontal="center"/>
    </xf>
    <xf numFmtId="165" fontId="0" fillId="0" borderId="0" xfId="0" applyNumberFormat="1"/>
    <xf numFmtId="37" fontId="0" fillId="0" borderId="0" xfId="0" applyNumberFormat="1" applyProtection="1"/>
    <xf numFmtId="38" fontId="3" fillId="0" borderId="0" xfId="0" applyNumberFormat="1" applyFont="1" applyFill="1" applyBorder="1" applyProtection="1"/>
    <xf numFmtId="37" fontId="5" fillId="0" borderId="0" xfId="0" applyNumberFormat="1" applyFont="1" applyProtection="1"/>
    <xf numFmtId="37" fontId="3" fillId="0" borderId="0" xfId="0" applyNumberFormat="1" applyFont="1" applyProtection="1"/>
    <xf numFmtId="1" fontId="3" fillId="0" borderId="0" xfId="0" applyNumberFormat="1" applyFont="1" applyBorder="1" applyProtection="1"/>
    <xf numFmtId="37" fontId="3" fillId="0" borderId="0" xfId="0" applyNumberFormat="1" applyFont="1" applyBorder="1" applyProtection="1"/>
    <xf numFmtId="1" fontId="3" fillId="0" borderId="0" xfId="0" applyNumberFormat="1" applyFont="1" applyFill="1" applyBorder="1" applyProtection="1"/>
    <xf numFmtId="37" fontId="4" fillId="0" borderId="0" xfId="0" applyNumberFormat="1" applyFont="1"/>
    <xf numFmtId="37" fontId="3" fillId="0" borderId="0" xfId="0" applyNumberFormat="1" applyFont="1"/>
    <xf numFmtId="37" fontId="17" fillId="0" borderId="0" xfId="0" applyNumberFormat="1" applyFont="1" applyFill="1" applyProtection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3" fontId="6" fillId="0" borderId="0" xfId="0" applyNumberFormat="1" applyFont="1" applyProtection="1"/>
    <xf numFmtId="37" fontId="6" fillId="0" borderId="0" xfId="0" applyNumberFormat="1" applyFont="1" applyFill="1" applyAlignment="1" applyProtection="1">
      <alignment horizontal="right"/>
    </xf>
    <xf numFmtId="37" fontId="21" fillId="0" borderId="0" xfId="0" applyNumberFormat="1" applyFont="1" applyFill="1" applyAlignment="1" applyProtection="1">
      <alignment horizontal="right"/>
      <protection locked="0"/>
    </xf>
    <xf numFmtId="37" fontId="5" fillId="0" borderId="0" xfId="0" applyNumberFormat="1" applyFont="1"/>
    <xf numFmtId="37" fontId="5" fillId="0" borderId="0" xfId="0" applyNumberFormat="1" applyFont="1" applyFill="1"/>
    <xf numFmtId="37" fontId="16" fillId="0" borderId="0" xfId="0" applyNumberFormat="1" applyFont="1"/>
    <xf numFmtId="37" fontId="9" fillId="0" borderId="0" xfId="0" applyNumberFormat="1" applyFont="1" applyProtection="1"/>
    <xf numFmtId="0" fontId="15" fillId="0" borderId="0" xfId="0" applyFont="1"/>
    <xf numFmtId="0" fontId="9" fillId="0" borderId="0" xfId="0" applyFont="1"/>
    <xf numFmtId="37" fontId="9" fillId="0" borderId="0" xfId="0" applyNumberFormat="1" applyFont="1" applyFill="1" applyProtection="1"/>
    <xf numFmtId="1" fontId="10" fillId="0" borderId="0" xfId="0" applyNumberFormat="1" applyFont="1"/>
    <xf numFmtId="0" fontId="8" fillId="0" borderId="0" xfId="0" applyFont="1"/>
    <xf numFmtId="0" fontId="9" fillId="0" borderId="3" xfId="0" applyFont="1" applyBorder="1"/>
    <xf numFmtId="169" fontId="9" fillId="0" borderId="0" xfId="1" applyNumberFormat="1" applyFont="1"/>
    <xf numFmtId="169" fontId="9" fillId="0" borderId="3" xfId="1" applyNumberFormat="1" applyFont="1" applyFill="1" applyBorder="1" applyProtection="1"/>
    <xf numFmtId="1" fontId="25" fillId="0" borderId="0" xfId="0" applyNumberFormat="1" applyFont="1"/>
    <xf numFmtId="0" fontId="9" fillId="0" borderId="0" xfId="0" applyFont="1" applyAlignment="1">
      <alignment horizontal="right"/>
    </xf>
    <xf numFmtId="3" fontId="26" fillId="0" borderId="0" xfId="0" applyNumberFormat="1" applyFont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169" fontId="8" fillId="0" borderId="0" xfId="1" applyNumberFormat="1" applyFont="1" applyFill="1" applyProtection="1"/>
    <xf numFmtId="169" fontId="3" fillId="0" borderId="0" xfId="1" applyNumberFormat="1" applyFont="1" applyFill="1" applyProtection="1"/>
    <xf numFmtId="169" fontId="9" fillId="0" borderId="1" xfId="1" applyNumberFormat="1" applyFont="1" applyBorder="1" applyProtection="1"/>
    <xf numFmtId="169" fontId="9" fillId="0" borderId="4" xfId="1" applyNumberFormat="1" applyFont="1" applyFill="1" applyBorder="1" applyProtection="1"/>
    <xf numFmtId="169" fontId="9" fillId="0" borderId="0" xfId="0" applyNumberFormat="1" applyFont="1"/>
    <xf numFmtId="0" fontId="7" fillId="0" borderId="0" xfId="0" applyFont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1" fontId="26" fillId="0" borderId="0" xfId="0" applyNumberFormat="1" applyFont="1" applyAlignment="1">
      <alignment horizontal="center"/>
    </xf>
    <xf numFmtId="37" fontId="7" fillId="0" borderId="0" xfId="0" applyNumberFormat="1" applyFont="1" applyAlignment="1" applyProtection="1">
      <alignment horizontal="center"/>
    </xf>
    <xf numFmtId="3" fontId="8" fillId="0" borderId="0" xfId="0" applyNumberFormat="1" applyFont="1" applyFill="1" applyBorder="1" applyProtection="1"/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66" fontId="8" fillId="2" borderId="6" xfId="2" applyNumberFormat="1" applyFont="1" applyFill="1" applyBorder="1"/>
    <xf numFmtId="166" fontId="8" fillId="3" borderId="6" xfId="2" applyNumberFormat="1" applyFont="1" applyFill="1" applyBorder="1"/>
    <xf numFmtId="166" fontId="8" fillId="3" borderId="7" xfId="0" applyNumberFormat="1" applyFont="1" applyFill="1" applyBorder="1" applyAlignment="1">
      <alignment horizontal="center"/>
    </xf>
    <xf numFmtId="166" fontId="8" fillId="3" borderId="5" xfId="2" applyNumberFormat="1" applyFont="1" applyFill="1" applyBorder="1"/>
    <xf numFmtId="0" fontId="8" fillId="0" borderId="6" xfId="0" applyFont="1" applyBorder="1"/>
    <xf numFmtId="0" fontId="8" fillId="0" borderId="5" xfId="0" applyFont="1" applyBorder="1"/>
    <xf numFmtId="0" fontId="8" fillId="0" borderId="5" xfId="0" applyFont="1" applyBorder="1" applyAlignment="1">
      <alignment wrapText="1"/>
    </xf>
    <xf numFmtId="0" fontId="8" fillId="0" borderId="8" xfId="0" applyFont="1" applyBorder="1"/>
    <xf numFmtId="0" fontId="9" fillId="0" borderId="5" xfId="0" applyFont="1" applyBorder="1"/>
    <xf numFmtId="0" fontId="8" fillId="0" borderId="5" xfId="0" applyFont="1" applyBorder="1" applyAlignment="1">
      <alignment horizontal="center" wrapText="1"/>
    </xf>
    <xf numFmtId="166" fontId="8" fillId="0" borderId="5" xfId="2" applyNumberFormat="1" applyFont="1" applyBorder="1" applyAlignment="1">
      <alignment horizontal="center" wrapText="1"/>
    </xf>
    <xf numFmtId="0" fontId="9" fillId="0" borderId="0" xfId="0" applyFont="1" applyBorder="1"/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166" fontId="8" fillId="0" borderId="9" xfId="2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left"/>
    </xf>
    <xf numFmtId="166" fontId="9" fillId="3" borderId="11" xfId="2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166" fontId="8" fillId="0" borderId="12" xfId="2" applyNumberFormat="1" applyFont="1" applyBorder="1" applyAlignment="1">
      <alignment horizontal="center" wrapText="1"/>
    </xf>
    <xf numFmtId="166" fontId="9" fillId="0" borderId="3" xfId="2" applyNumberFormat="1" applyFont="1" applyBorder="1" applyAlignment="1">
      <alignment horizontal="center"/>
    </xf>
    <xf numFmtId="166" fontId="9" fillId="0" borderId="3" xfId="2" applyNumberFormat="1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166" fontId="8" fillId="3" borderId="5" xfId="2" applyNumberFormat="1" applyFont="1" applyFill="1" applyBorder="1" applyAlignment="1">
      <alignment horizontal="center"/>
    </xf>
    <xf numFmtId="166" fontId="9" fillId="0" borderId="0" xfId="0" applyNumberFormat="1" applyFont="1"/>
    <xf numFmtId="166" fontId="8" fillId="0" borderId="0" xfId="2" applyNumberFormat="1" applyFont="1"/>
    <xf numFmtId="166" fontId="8" fillId="3" borderId="5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right" wrapText="1"/>
    </xf>
    <xf numFmtId="166" fontId="8" fillId="3" borderId="5" xfId="2" applyNumberFormat="1" applyFont="1" applyFill="1" applyBorder="1" applyAlignment="1">
      <alignment horizontal="right"/>
    </xf>
    <xf numFmtId="3" fontId="2" fillId="0" borderId="0" xfId="0" applyNumberFormat="1" applyFont="1" applyFill="1"/>
    <xf numFmtId="37" fontId="2" fillId="0" borderId="0" xfId="0" applyNumberFormat="1" applyFont="1"/>
    <xf numFmtId="37" fontId="2" fillId="0" borderId="0" xfId="0" applyNumberFormat="1" applyFont="1" applyFill="1"/>
    <xf numFmtId="3" fontId="7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Protection="1"/>
    <xf numFmtId="166" fontId="9" fillId="2" borderId="5" xfId="2" applyNumberFormat="1" applyFont="1" applyFill="1" applyBorder="1" applyAlignment="1">
      <alignment horizontal="right" wrapText="1"/>
    </xf>
    <xf numFmtId="166" fontId="9" fillId="2" borderId="5" xfId="2" applyNumberFormat="1" applyFont="1" applyFill="1" applyBorder="1" applyAlignment="1">
      <alignment horizontal="right"/>
    </xf>
    <xf numFmtId="166" fontId="9" fillId="0" borderId="0" xfId="2" applyNumberFormat="1" applyFont="1"/>
    <xf numFmtId="166" fontId="9" fillId="0" borderId="0" xfId="2" applyNumberFormat="1" applyFont="1" applyAlignment="1">
      <alignment horizontal="right"/>
    </xf>
    <xf numFmtId="166" fontId="8" fillId="0" borderId="9" xfId="2" applyNumberFormat="1" applyFont="1" applyBorder="1" applyAlignment="1">
      <alignment horizontal="center"/>
    </xf>
    <xf numFmtId="166" fontId="8" fillId="0" borderId="9" xfId="2" applyNumberFormat="1" applyFont="1" applyBorder="1" applyAlignment="1">
      <alignment horizontal="right" wrapText="1"/>
    </xf>
    <xf numFmtId="166" fontId="9" fillId="3" borderId="5" xfId="2" applyNumberFormat="1" applyFont="1" applyFill="1" applyBorder="1"/>
    <xf numFmtId="166" fontId="8" fillId="3" borderId="5" xfId="0" applyNumberFormat="1" applyFont="1" applyFill="1" applyBorder="1"/>
    <xf numFmtId="0" fontId="9" fillId="0" borderId="13" xfId="0" applyFont="1" applyBorder="1"/>
    <xf numFmtId="44" fontId="15" fillId="0" borderId="0" xfId="2" applyFont="1" applyAlignment="1">
      <alignment horizontal="center"/>
    </xf>
    <xf numFmtId="0" fontId="15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9" fontId="9" fillId="0" borderId="0" xfId="1" applyNumberFormat="1" applyFont="1" applyFill="1"/>
    <xf numFmtId="169" fontId="9" fillId="0" borderId="3" xfId="1" applyNumberFormat="1" applyFont="1" applyFill="1" applyBorder="1"/>
    <xf numFmtId="167" fontId="9" fillId="0" borderId="0" xfId="0" applyNumberFormat="1" applyFont="1" applyFill="1"/>
    <xf numFmtId="169" fontId="9" fillId="0" borderId="0" xfId="1" applyNumberFormat="1" applyFont="1" applyBorder="1"/>
    <xf numFmtId="169" fontId="9" fillId="0" borderId="0" xfId="1" applyNumberFormat="1" applyFont="1" applyFill="1" applyBorder="1" applyProtection="1"/>
    <xf numFmtId="166" fontId="5" fillId="0" borderId="0" xfId="2" applyNumberFormat="1" applyFont="1" applyAlignment="1">
      <alignment horizontal="center"/>
    </xf>
    <xf numFmtId="166" fontId="5" fillId="0" borderId="0" xfId="2" applyNumberFormat="1" applyFont="1"/>
    <xf numFmtId="166" fontId="29" fillId="4" borderId="5" xfId="2" applyNumberFormat="1" applyFont="1" applyFill="1" applyBorder="1" applyAlignment="1">
      <alignment horizontal="center"/>
    </xf>
    <xf numFmtId="166" fontId="9" fillId="4" borderId="5" xfId="2" applyNumberFormat="1" applyFont="1" applyFill="1" applyBorder="1" applyAlignment="1">
      <alignment horizontal="center"/>
    </xf>
    <xf numFmtId="166" fontId="9" fillId="4" borderId="5" xfId="2" applyNumberFormat="1" applyFont="1" applyFill="1" applyBorder="1" applyAlignment="1">
      <alignment horizontal="center" wrapText="1"/>
    </xf>
    <xf numFmtId="166" fontId="9" fillId="4" borderId="5" xfId="2" applyNumberFormat="1" applyFont="1" applyFill="1" applyBorder="1"/>
    <xf numFmtId="166" fontId="9" fillId="4" borderId="5" xfId="2" applyNumberFormat="1" applyFont="1" applyFill="1" applyBorder="1" applyAlignment="1">
      <alignment horizontal="right" wrapText="1"/>
    </xf>
    <xf numFmtId="166" fontId="9" fillId="4" borderId="6" xfId="2" applyNumberFormat="1" applyFont="1" applyFill="1" applyBorder="1" applyAlignment="1">
      <alignment horizontal="right"/>
    </xf>
    <xf numFmtId="166" fontId="9" fillId="4" borderId="6" xfId="2" applyNumberFormat="1" applyFont="1" applyFill="1" applyBorder="1" applyAlignment="1">
      <alignment horizontal="center"/>
    </xf>
    <xf numFmtId="166" fontId="29" fillId="4" borderId="6" xfId="2" applyNumberFormat="1" applyFont="1" applyFill="1" applyBorder="1" applyAlignment="1">
      <alignment horizontal="center" wrapText="1"/>
    </xf>
    <xf numFmtId="166" fontId="9" fillId="4" borderId="6" xfId="2" applyNumberFormat="1" applyFont="1" applyFill="1" applyBorder="1" applyAlignment="1">
      <alignment horizontal="center" wrapText="1"/>
    </xf>
    <xf numFmtId="166" fontId="9" fillId="4" borderId="6" xfId="2" applyNumberFormat="1" applyFont="1" applyFill="1" applyBorder="1" applyAlignment="1">
      <alignment horizontal="right" wrapText="1"/>
    </xf>
    <xf numFmtId="166" fontId="29" fillId="4" borderId="5" xfId="2" applyNumberFormat="1" applyFont="1" applyFill="1" applyBorder="1" applyAlignment="1">
      <alignment horizontal="center" wrapText="1"/>
    </xf>
    <xf numFmtId="166" fontId="8" fillId="4" borderId="12" xfId="2" applyNumberFormat="1" applyFont="1" applyFill="1" applyBorder="1" applyAlignment="1">
      <alignment horizontal="center"/>
    </xf>
    <xf numFmtId="166" fontId="8" fillId="4" borderId="12" xfId="2" applyNumberFormat="1" applyFont="1" applyFill="1" applyBorder="1" applyAlignment="1">
      <alignment horizontal="right"/>
    </xf>
    <xf numFmtId="166" fontId="9" fillId="4" borderId="3" xfId="2" applyNumberFormat="1" applyFont="1" applyFill="1" applyBorder="1" applyAlignment="1">
      <alignment horizontal="right"/>
    </xf>
    <xf numFmtId="166" fontId="9" fillId="4" borderId="5" xfId="2" applyNumberFormat="1" applyFont="1" applyFill="1" applyBorder="1" applyAlignment="1">
      <alignment horizontal="right"/>
    </xf>
    <xf numFmtId="166" fontId="9" fillId="4" borderId="14" xfId="2" applyNumberFormat="1" applyFont="1" applyFill="1" applyBorder="1" applyAlignment="1">
      <alignment horizontal="right"/>
    </xf>
    <xf numFmtId="166" fontId="9" fillId="5" borderId="6" xfId="2" applyNumberFormat="1" applyFont="1" applyFill="1" applyBorder="1" applyAlignment="1">
      <alignment horizontal="center"/>
    </xf>
    <xf numFmtId="166" fontId="9" fillId="5" borderId="5" xfId="2" applyNumberFormat="1" applyFont="1" applyFill="1" applyBorder="1" applyAlignment="1">
      <alignment horizontal="center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/>
    <xf numFmtId="166" fontId="9" fillId="5" borderId="5" xfId="2" applyNumberFormat="1" applyFont="1" applyFill="1" applyBorder="1" applyAlignment="1">
      <alignment horizontal="right" wrapText="1"/>
    </xf>
    <xf numFmtId="166" fontId="8" fillId="4" borderId="5" xfId="2" applyNumberFormat="1" applyFont="1" applyFill="1" applyBorder="1" applyAlignment="1">
      <alignment horizontal="center"/>
    </xf>
    <xf numFmtId="166" fontId="8" fillId="4" borderId="0" xfId="2" applyNumberFormat="1" applyFont="1" applyFill="1"/>
    <xf numFmtId="166" fontId="8" fillId="4" borderId="5" xfId="2" applyNumberFormat="1" applyFont="1" applyFill="1" applyBorder="1"/>
    <xf numFmtId="166" fontId="9" fillId="5" borderId="5" xfId="2" applyNumberFormat="1" applyFont="1" applyFill="1" applyBorder="1" applyAlignment="1">
      <alignment horizontal="right"/>
    </xf>
    <xf numFmtId="166" fontId="9" fillId="5" borderId="6" xfId="2" applyNumberFormat="1" applyFont="1" applyFill="1" applyBorder="1" applyAlignment="1">
      <alignment horizontal="right"/>
    </xf>
    <xf numFmtId="166" fontId="9" fillId="5" borderId="7" xfId="2" applyNumberFormat="1" applyFont="1" applyFill="1" applyBorder="1" applyAlignment="1">
      <alignment horizontal="right"/>
    </xf>
    <xf numFmtId="167" fontId="9" fillId="0" borderId="0" xfId="0" applyNumberFormat="1" applyFont="1"/>
    <xf numFmtId="167" fontId="9" fillId="0" borderId="0" xfId="0" applyNumberFormat="1" applyFont="1" applyFill="1" applyProtection="1"/>
    <xf numFmtId="167" fontId="10" fillId="0" borderId="0" xfId="0" applyNumberFormat="1" applyFont="1"/>
    <xf numFmtId="167" fontId="8" fillId="0" borderId="0" xfId="0" applyNumberFormat="1" applyFont="1"/>
    <xf numFmtId="167" fontId="10" fillId="0" borderId="0" xfId="0" applyNumberFormat="1" applyFont="1" applyProtection="1"/>
    <xf numFmtId="167" fontId="9" fillId="0" borderId="0" xfId="0" applyNumberFormat="1" applyFont="1" applyProtection="1"/>
    <xf numFmtId="166" fontId="8" fillId="4" borderId="6" xfId="2" applyNumberFormat="1" applyFont="1" applyFill="1" applyBorder="1"/>
    <xf numFmtId="169" fontId="9" fillId="0" borderId="0" xfId="1" applyNumberFormat="1" applyFont="1" applyBorder="1" applyProtection="1"/>
    <xf numFmtId="169" fontId="9" fillId="0" borderId="0" xfId="1" applyNumberFormat="1" applyFont="1" applyFill="1" applyProtection="1"/>
    <xf numFmtId="166" fontId="9" fillId="4" borderId="11" xfId="2" applyNumberFormat="1" applyFont="1" applyFill="1" applyBorder="1" applyAlignment="1">
      <alignment horizontal="right"/>
    </xf>
    <xf numFmtId="166" fontId="8" fillId="4" borderId="5" xfId="0" applyNumberFormat="1" applyFont="1" applyFill="1" applyBorder="1" applyAlignment="1">
      <alignment horizontal="center"/>
    </xf>
    <xf numFmtId="169" fontId="10" fillId="0" borderId="0" xfId="1" applyNumberFormat="1" applyFont="1" applyProtection="1"/>
    <xf numFmtId="169" fontId="10" fillId="0" borderId="0" xfId="1" applyNumberFormat="1" applyFont="1"/>
    <xf numFmtId="169" fontId="9" fillId="0" borderId="1" xfId="1" applyNumberFormat="1" applyFont="1" applyFill="1" applyBorder="1" applyProtection="1"/>
    <xf numFmtId="169" fontId="9" fillId="0" borderId="4" xfId="1" applyNumberFormat="1" applyFont="1" applyFill="1" applyBorder="1"/>
    <xf numFmtId="169" fontId="8" fillId="0" borderId="0" xfId="1" applyNumberFormat="1" applyFont="1" applyFill="1" applyBorder="1" applyProtection="1"/>
    <xf numFmtId="169" fontId="10" fillId="0" borderId="0" xfId="1" applyNumberFormat="1" applyFont="1" applyAlignment="1">
      <alignment horizontal="center"/>
    </xf>
    <xf numFmtId="169" fontId="8" fillId="0" borderId="2" xfId="1" applyNumberFormat="1" applyFont="1" applyFill="1" applyBorder="1" applyProtection="1"/>
    <xf numFmtId="38" fontId="9" fillId="0" borderId="0" xfId="0" applyNumberFormat="1" applyFont="1" applyFill="1" applyAlignment="1" applyProtection="1">
      <alignment horizontal="right"/>
    </xf>
    <xf numFmtId="0" fontId="5" fillId="0" borderId="0" xfId="0" applyFont="1" applyFill="1" applyAlignment="1">
      <alignment horizontal="center"/>
    </xf>
    <xf numFmtId="37" fontId="8" fillId="0" borderId="0" xfId="0" applyNumberFormat="1" applyFont="1" applyProtection="1"/>
    <xf numFmtId="169" fontId="8" fillId="0" borderId="0" xfId="1" applyNumberFormat="1" applyFont="1"/>
    <xf numFmtId="169" fontId="10" fillId="0" borderId="0" xfId="1" applyNumberFormat="1" applyFont="1" applyBorder="1" applyProtection="1"/>
    <xf numFmtId="3" fontId="3" fillId="0" borderId="0" xfId="0" applyNumberFormat="1" applyFont="1" applyFill="1" applyBorder="1" applyProtection="1"/>
    <xf numFmtId="37" fontId="2" fillId="0" borderId="0" xfId="0" applyNumberFormat="1" applyFont="1" applyFill="1" applyBorder="1" applyProtection="1"/>
    <xf numFmtId="169" fontId="9" fillId="0" borderId="0" xfId="1" applyNumberFormat="1" applyFont="1" applyFill="1" applyBorder="1" applyAlignment="1" applyProtection="1">
      <alignment horizontal="right"/>
    </xf>
    <xf numFmtId="49" fontId="37" fillId="0" borderId="0" xfId="0" applyNumberFormat="1" applyFont="1"/>
    <xf numFmtId="173" fontId="37" fillId="0" borderId="0" xfId="0" applyNumberFormat="1" applyFont="1"/>
    <xf numFmtId="49" fontId="38" fillId="0" borderId="0" xfId="0" applyNumberFormat="1" applyFont="1"/>
    <xf numFmtId="173" fontId="38" fillId="0" borderId="0" xfId="0" applyNumberFormat="1" applyFont="1"/>
    <xf numFmtId="173" fontId="38" fillId="0" borderId="0" xfId="0" applyNumberFormat="1" applyFont="1" applyBorder="1"/>
    <xf numFmtId="173" fontId="37" fillId="0" borderId="0" xfId="0" applyNumberFormat="1" applyFont="1" applyBorder="1"/>
    <xf numFmtId="0" fontId="37" fillId="0" borderId="0" xfId="0" applyFont="1"/>
    <xf numFmtId="44" fontId="15" fillId="0" borderId="0" xfId="2" applyFont="1"/>
    <xf numFmtId="0" fontId="37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44" fontId="37" fillId="0" borderId="0" xfId="0" applyNumberFormat="1" applyFont="1"/>
    <xf numFmtId="49" fontId="30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10" fontId="39" fillId="0" borderId="0" xfId="0" applyNumberFormat="1" applyFont="1" applyAlignment="1">
      <alignment horizontal="center"/>
    </xf>
    <xf numFmtId="44" fontId="39" fillId="0" borderId="0" xfId="2" applyFont="1" applyAlignment="1">
      <alignment horizontal="center"/>
    </xf>
    <xf numFmtId="0" fontId="15" fillId="0" borderId="0" xfId="0" applyNumberFormat="1" applyFont="1"/>
    <xf numFmtId="44" fontId="30" fillId="0" borderId="0" xfId="0" applyNumberFormat="1" applyFont="1"/>
    <xf numFmtId="166" fontId="37" fillId="0" borderId="0" xfId="0" applyNumberFormat="1" applyFont="1"/>
    <xf numFmtId="166" fontId="5" fillId="0" borderId="0" xfId="0" applyNumberFormat="1" applyFont="1" applyAlignment="1">
      <alignment horizontal="center"/>
    </xf>
    <xf numFmtId="3" fontId="9" fillId="0" borderId="0" xfId="0" applyNumberFormat="1" applyFont="1" applyFill="1" applyBorder="1"/>
    <xf numFmtId="167" fontId="23" fillId="0" borderId="0" xfId="0" applyNumberFormat="1" applyFont="1"/>
    <xf numFmtId="167" fontId="23" fillId="0" borderId="0" xfId="0" applyNumberFormat="1" applyFont="1" applyFill="1" applyProtection="1"/>
    <xf numFmtId="167" fontId="32" fillId="0" borderId="0" xfId="1" applyNumberFormat="1" applyFont="1" applyFill="1" applyProtection="1"/>
    <xf numFmtId="167" fontId="23" fillId="0" borderId="0" xfId="0" applyNumberFormat="1" applyFont="1" applyProtection="1"/>
    <xf numFmtId="167" fontId="23" fillId="0" borderId="0" xfId="0" quotePrefix="1" applyNumberFormat="1" applyFont="1" applyFill="1" applyProtection="1"/>
    <xf numFmtId="167" fontId="32" fillId="0" borderId="0" xfId="0" applyNumberFormat="1" applyFont="1"/>
    <xf numFmtId="44" fontId="15" fillId="0" borderId="0" xfId="0" applyNumberFormat="1" applyFont="1"/>
    <xf numFmtId="3" fontId="9" fillId="0" borderId="0" xfId="0" applyNumberFormat="1" applyFont="1" applyAlignment="1"/>
    <xf numFmtId="37" fontId="6" fillId="0" borderId="0" xfId="0" applyNumberFormat="1" applyFont="1" applyFill="1" applyAlignment="1" applyProtection="1"/>
    <xf numFmtId="166" fontId="40" fillId="4" borderId="6" xfId="2" applyNumberFormat="1" applyFont="1" applyFill="1" applyBorder="1" applyAlignment="1">
      <alignment horizontal="right"/>
    </xf>
    <xf numFmtId="166" fontId="40" fillId="4" borderId="5" xfId="2" applyNumberFormat="1" applyFont="1" applyFill="1" applyBorder="1" applyAlignment="1">
      <alignment horizontal="right"/>
    </xf>
    <xf numFmtId="166" fontId="8" fillId="5" borderId="6" xfId="2" applyNumberFormat="1" applyFont="1" applyFill="1" applyBorder="1"/>
    <xf numFmtId="0" fontId="9" fillId="0" borderId="0" xfId="0" applyFont="1" applyAlignment="1"/>
    <xf numFmtId="0" fontId="9" fillId="0" borderId="0" xfId="0" applyFont="1" applyFill="1" applyBorder="1"/>
    <xf numFmtId="0" fontId="9" fillId="0" borderId="0" xfId="0" applyFont="1" applyFill="1"/>
    <xf numFmtId="0" fontId="43" fillId="0" borderId="0" xfId="0" applyFont="1"/>
    <xf numFmtId="38" fontId="2" fillId="0" borderId="0" xfId="0" applyNumberFormat="1" applyFont="1" applyFill="1" applyBorder="1" applyProtection="1"/>
    <xf numFmtId="166" fontId="15" fillId="0" borderId="0" xfId="2" applyNumberFormat="1" applyFont="1"/>
    <xf numFmtId="166" fontId="15" fillId="0" borderId="0" xfId="0" applyNumberFormat="1" applyFont="1"/>
    <xf numFmtId="3" fontId="20" fillId="0" borderId="0" xfId="0" applyNumberFormat="1" applyFont="1" applyProtection="1"/>
    <xf numFmtId="169" fontId="9" fillId="0" borderId="3" xfId="1" applyNumberFormat="1" applyFont="1" applyFill="1" applyBorder="1" applyAlignment="1">
      <alignment horizontal="right"/>
    </xf>
    <xf numFmtId="169" fontId="3" fillId="0" borderId="0" xfId="1" applyNumberFormat="1" applyFont="1" applyFill="1" applyAlignment="1" applyProtection="1">
      <alignment horizontal="right"/>
    </xf>
    <xf numFmtId="169" fontId="9" fillId="0" borderId="0" xfId="1" applyNumberFormat="1" applyFont="1" applyFill="1" applyAlignment="1">
      <alignment horizontal="right"/>
    </xf>
    <xf numFmtId="44" fontId="0" fillId="0" borderId="0" xfId="2" applyFont="1"/>
    <xf numFmtId="0" fontId="0" fillId="0" borderId="0" xfId="0" applyFont="1"/>
    <xf numFmtId="49" fontId="30" fillId="0" borderId="0" xfId="0" applyNumberFormat="1" applyFont="1" applyBorder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66" fontId="5" fillId="0" borderId="0" xfId="2" applyNumberFormat="1" applyFont="1" applyProtection="1"/>
    <xf numFmtId="166" fontId="5" fillId="0" borderId="0" xfId="2" applyNumberFormat="1" applyFont="1" applyAlignment="1" applyProtection="1">
      <alignment horizontal="right"/>
    </xf>
    <xf numFmtId="0" fontId="30" fillId="0" borderId="18" xfId="0" applyFont="1" applyBorder="1" applyAlignment="1"/>
    <xf numFmtId="0" fontId="30" fillId="0" borderId="18" xfId="0" applyFont="1" applyBorder="1" applyAlignment="1">
      <alignment horizontal="center" wrapText="1"/>
    </xf>
    <xf numFmtId="0" fontId="30" fillId="0" borderId="18" xfId="0" applyFont="1" applyBorder="1" applyAlignment="1">
      <alignment horizontal="center"/>
    </xf>
    <xf numFmtId="169" fontId="9" fillId="0" borderId="3" xfId="1" applyNumberFormat="1" applyFont="1" applyBorder="1" applyProtection="1"/>
    <xf numFmtId="49" fontId="37" fillId="0" borderId="18" xfId="0" applyNumberFormat="1" applyFont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right" wrapText="1"/>
    </xf>
    <xf numFmtId="166" fontId="0" fillId="0" borderId="0" xfId="2" applyNumberFormat="1" applyFont="1"/>
    <xf numFmtId="0" fontId="42" fillId="0" borderId="0" xfId="0" applyFont="1" applyBorder="1"/>
    <xf numFmtId="38" fontId="2" fillId="0" borderId="0" xfId="0" applyNumberFormat="1" applyFont="1" applyFill="1" applyAlignment="1" applyProtection="1">
      <alignment horizontal="right"/>
    </xf>
    <xf numFmtId="169" fontId="9" fillId="0" borderId="0" xfId="0" applyNumberFormat="1" applyFont="1" applyAlignment="1">
      <alignment horizontal="left"/>
    </xf>
    <xf numFmtId="169" fontId="9" fillId="0" borderId="0" xfId="0" applyNumberFormat="1" applyFont="1" applyAlignment="1"/>
    <xf numFmtId="169" fontId="9" fillId="0" borderId="0" xfId="0" applyNumberFormat="1" applyFont="1" applyAlignment="1">
      <alignment horizontal="center"/>
    </xf>
    <xf numFmtId="174" fontId="3" fillId="0" borderId="0" xfId="0" applyNumberFormat="1" applyFont="1" applyFill="1" applyBorder="1" applyAlignment="1" applyProtection="1">
      <alignment horizontal="right"/>
    </xf>
    <xf numFmtId="169" fontId="2" fillId="0" borderId="0" xfId="0" applyNumberFormat="1" applyFont="1"/>
    <xf numFmtId="169" fontId="2" fillId="0" borderId="0" xfId="0" applyNumberFormat="1" applyFont="1" applyFill="1"/>
    <xf numFmtId="169" fontId="4" fillId="0" borderId="0" xfId="0" applyNumberFormat="1" applyFont="1" applyAlignment="1">
      <alignment horizontal="center"/>
    </xf>
    <xf numFmtId="169" fontId="9" fillId="0" borderId="0" xfId="0" applyNumberFormat="1" applyFont="1" applyFill="1"/>
    <xf numFmtId="169" fontId="10" fillId="0" borderId="0" xfId="0" applyNumberFormat="1" applyFont="1" applyAlignment="1">
      <alignment horizontal="center"/>
    </xf>
    <xf numFmtId="169" fontId="11" fillId="0" borderId="0" xfId="0" applyNumberFormat="1" applyFont="1" applyAlignment="1" applyProtection="1">
      <alignment horizontal="center"/>
    </xf>
    <xf numFmtId="169" fontId="7" fillId="0" borderId="0" xfId="0" applyNumberFormat="1" applyFont="1" applyAlignment="1">
      <alignment horizontal="center"/>
    </xf>
    <xf numFmtId="169" fontId="7" fillId="0" borderId="0" xfId="0" applyNumberFormat="1" applyFont="1" applyFill="1" applyAlignment="1" applyProtection="1">
      <alignment horizontal="center"/>
    </xf>
    <xf numFmtId="169" fontId="26" fillId="0" borderId="0" xfId="0" applyNumberFormat="1" applyFont="1" applyAlignment="1">
      <alignment horizontal="center"/>
    </xf>
    <xf numFmtId="169" fontId="7" fillId="0" borderId="0" xfId="0" applyNumberFormat="1" applyFont="1" applyAlignment="1" applyProtection="1">
      <alignment horizontal="center"/>
    </xf>
    <xf numFmtId="169" fontId="0" fillId="0" borderId="0" xfId="0" applyNumberFormat="1" applyProtection="1"/>
    <xf numFmtId="169" fontId="7" fillId="0" borderId="1" xfId="0" applyNumberFormat="1" applyFont="1" applyFill="1" applyBorder="1" applyAlignment="1">
      <alignment horizontal="center"/>
    </xf>
    <xf numFmtId="169" fontId="11" fillId="0" borderId="0" xfId="0" applyNumberFormat="1" applyFont="1" applyProtection="1"/>
    <xf numFmtId="169" fontId="12" fillId="0" borderId="0" xfId="0" applyNumberFormat="1" applyFont="1" applyProtection="1"/>
    <xf numFmtId="169" fontId="9" fillId="0" borderId="0" xfId="0" applyNumberFormat="1" applyFont="1" applyProtection="1"/>
    <xf numFmtId="169" fontId="12" fillId="0" borderId="0" xfId="0" applyNumberFormat="1" applyFont="1" applyAlignment="1" applyProtection="1">
      <alignment horizontal="left"/>
    </xf>
    <xf numFmtId="169" fontId="9" fillId="0" borderId="1" xfId="0" applyNumberFormat="1" applyFont="1" applyBorder="1" applyProtection="1"/>
    <xf numFmtId="169" fontId="9" fillId="0" borderId="0" xfId="0" applyNumberFormat="1" applyFont="1" applyAlignment="1">
      <alignment horizontal="right"/>
    </xf>
    <xf numFmtId="169" fontId="9" fillId="0" borderId="0" xfId="0" applyNumberFormat="1" applyFont="1" applyFill="1" applyProtection="1"/>
    <xf numFmtId="169" fontId="10" fillId="0" borderId="0" xfId="0" applyNumberFormat="1" applyFont="1"/>
    <xf numFmtId="169" fontId="8" fillId="0" borderId="0" xfId="0" applyNumberFormat="1" applyFont="1"/>
    <xf numFmtId="169" fontId="9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Border="1" applyProtection="1"/>
    <xf numFmtId="169" fontId="10" fillId="0" borderId="0" xfId="0" applyNumberFormat="1" applyFont="1" applyProtection="1"/>
    <xf numFmtId="169" fontId="9" fillId="0" borderId="0" xfId="2" applyNumberFormat="1" applyFont="1"/>
    <xf numFmtId="169" fontId="8" fillId="0" borderId="0" xfId="0" applyNumberFormat="1" applyFont="1" applyBorder="1" applyAlignment="1" applyProtection="1">
      <alignment horizontal="right"/>
    </xf>
    <xf numFmtId="169" fontId="8" fillId="0" borderId="0" xfId="0" applyNumberFormat="1" applyFont="1" applyBorder="1" applyProtection="1"/>
    <xf numFmtId="169" fontId="8" fillId="0" borderId="0" xfId="0" applyNumberFormat="1" applyFont="1" applyFill="1" applyProtection="1"/>
    <xf numFmtId="169" fontId="9" fillId="0" borderId="3" xfId="0" applyNumberFormat="1" applyFont="1" applyBorder="1"/>
    <xf numFmtId="169" fontId="10" fillId="0" borderId="0" xfId="0" applyNumberFormat="1" applyFont="1" applyBorder="1"/>
    <xf numFmtId="169" fontId="8" fillId="0" borderId="0" xfId="0" applyNumberFormat="1" applyFont="1" applyFill="1" applyAlignment="1" applyProtection="1">
      <alignment horizontal="right"/>
    </xf>
    <xf numFmtId="169" fontId="9" fillId="0" borderId="3" xfId="0" applyNumberFormat="1" applyFont="1" applyFill="1" applyBorder="1" applyProtection="1"/>
    <xf numFmtId="169" fontId="10" fillId="0" borderId="3" xfId="0" applyNumberFormat="1" applyFont="1" applyBorder="1"/>
    <xf numFmtId="169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left"/>
    </xf>
    <xf numFmtId="169" fontId="25" fillId="0" borderId="0" xfId="0" applyNumberFormat="1" applyFont="1" applyProtection="1"/>
    <xf numFmtId="169" fontId="9" fillId="0" borderId="4" xfId="0" applyNumberFormat="1" applyFont="1" applyFill="1" applyBorder="1" applyProtection="1"/>
    <xf numFmtId="169" fontId="9" fillId="0" borderId="4" xfId="0" applyNumberFormat="1" applyFont="1" applyBorder="1"/>
    <xf numFmtId="169" fontId="8" fillId="0" borderId="3" xfId="0" applyNumberFormat="1" applyFont="1" applyBorder="1"/>
    <xf numFmtId="169" fontId="7" fillId="0" borderId="1" xfId="0" applyNumberFormat="1" applyFont="1" applyFill="1" applyBorder="1" applyAlignment="1">
      <alignment horizontal="center" wrapText="1"/>
    </xf>
    <xf numFmtId="169" fontId="8" fillId="0" borderId="1" xfId="0" applyNumberFormat="1" applyFont="1" applyFill="1" applyBorder="1" applyAlignment="1">
      <alignment horizontal="center"/>
    </xf>
    <xf numFmtId="169" fontId="9" fillId="0" borderId="3" xfId="1" applyNumberFormat="1" applyFont="1" applyFill="1" applyBorder="1" applyAlignment="1" applyProtection="1">
      <alignment horizontal="right"/>
    </xf>
    <xf numFmtId="166" fontId="8" fillId="3" borderId="7" xfId="2" applyNumberFormat="1" applyFont="1" applyFill="1" applyBorder="1" applyAlignment="1">
      <alignment horizontal="center"/>
    </xf>
    <xf numFmtId="166" fontId="8" fillId="3" borderId="7" xfId="2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left"/>
    </xf>
    <xf numFmtId="166" fontId="8" fillId="3" borderId="6" xfId="2" applyNumberFormat="1" applyFont="1" applyFill="1" applyBorder="1" applyAlignment="1">
      <alignment horizontal="center"/>
    </xf>
    <xf numFmtId="166" fontId="8" fillId="4" borderId="6" xfId="2" applyNumberFormat="1" applyFont="1" applyFill="1" applyBorder="1" applyAlignment="1">
      <alignment horizontal="center"/>
    </xf>
    <xf numFmtId="166" fontId="8" fillId="4" borderId="5" xfId="2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left" vertical="center"/>
    </xf>
    <xf numFmtId="0" fontId="9" fillId="0" borderId="6" xfId="0" applyFont="1" applyBorder="1"/>
    <xf numFmtId="166" fontId="8" fillId="4" borderId="6" xfId="2" applyNumberFormat="1" applyFont="1" applyFill="1" applyBorder="1" applyAlignment="1">
      <alignment horizontal="right"/>
    </xf>
    <xf numFmtId="0" fontId="45" fillId="0" borderId="0" xfId="0" applyFont="1"/>
    <xf numFmtId="0" fontId="31" fillId="0" borderId="0" xfId="0" applyFont="1"/>
    <xf numFmtId="0" fontId="46" fillId="6" borderId="21" xfId="0" applyFont="1" applyFill="1" applyBorder="1" applyAlignment="1">
      <alignment horizontal="center" wrapText="1"/>
    </xf>
    <xf numFmtId="0" fontId="46" fillId="6" borderId="22" xfId="0" applyFont="1" applyFill="1" applyBorder="1" applyAlignment="1">
      <alignment horizontal="center" wrapText="1"/>
    </xf>
    <xf numFmtId="0" fontId="47" fillId="0" borderId="0" xfId="0" applyFont="1"/>
    <xf numFmtId="6" fontId="31" fillId="0" borderId="0" xfId="0" applyNumberFormat="1" applyFont="1"/>
    <xf numFmtId="8" fontId="31" fillId="0" borderId="0" xfId="0" applyNumberFormat="1" applyFont="1"/>
    <xf numFmtId="174" fontId="3" fillId="0" borderId="0" xfId="0" applyNumberFormat="1" applyFont="1" applyFill="1" applyProtection="1"/>
    <xf numFmtId="38" fontId="9" fillId="0" borderId="0" xfId="0" applyNumberFormat="1" applyFont="1" applyFill="1" applyAlignment="1">
      <alignment horizontal="right"/>
    </xf>
    <xf numFmtId="44" fontId="15" fillId="0" borderId="0" xfId="2" applyFont="1" applyBorder="1" applyAlignment="1">
      <alignment horizontal="center"/>
    </xf>
    <xf numFmtId="49" fontId="37" fillId="0" borderId="0" xfId="0" applyNumberFormat="1" applyFont="1" applyBorder="1"/>
    <xf numFmtId="0" fontId="15" fillId="0" borderId="0" xfId="0" applyNumberFormat="1" applyFont="1" applyBorder="1"/>
    <xf numFmtId="173" fontId="37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4" fontId="30" fillId="0" borderId="0" xfId="2" applyFont="1" applyBorder="1" applyAlignment="1">
      <alignment horizontal="center"/>
    </xf>
    <xf numFmtId="171" fontId="30" fillId="0" borderId="0" xfId="0" applyNumberFormat="1" applyFont="1" applyBorder="1" applyAlignment="1">
      <alignment horizontal="center"/>
    </xf>
    <xf numFmtId="0" fontId="15" fillId="0" borderId="0" xfId="0" applyFont="1" applyBorder="1"/>
    <xf numFmtId="44" fontId="15" fillId="0" borderId="0" xfId="2" applyFont="1" applyBorder="1"/>
    <xf numFmtId="171" fontId="15" fillId="0" borderId="0" xfId="0" applyNumberFormat="1" applyFont="1" applyBorder="1" applyAlignment="1">
      <alignment horizontal="center"/>
    </xf>
    <xf numFmtId="49" fontId="38" fillId="0" borderId="0" xfId="0" applyNumberFormat="1" applyFont="1" applyBorder="1"/>
    <xf numFmtId="44" fontId="38" fillId="0" borderId="0" xfId="2" applyFont="1" applyBorder="1"/>
    <xf numFmtId="44" fontId="37" fillId="0" borderId="0" xfId="2" applyFont="1" applyBorder="1"/>
    <xf numFmtId="44" fontId="15" fillId="0" borderId="0" xfId="0" applyNumberFormat="1" applyFont="1" applyBorder="1"/>
    <xf numFmtId="10" fontId="37" fillId="0" borderId="0" xfId="3" applyNumberFormat="1" applyFont="1" applyBorder="1" applyAlignment="1">
      <alignment horizontal="center"/>
    </xf>
    <xf numFmtId="10" fontId="30" fillId="0" borderId="0" xfId="3" applyNumberFormat="1" applyFont="1" applyBorder="1" applyAlignment="1">
      <alignment horizontal="center"/>
    </xf>
    <xf numFmtId="44" fontId="15" fillId="0" borderId="0" xfId="0" applyNumberFormat="1" applyFont="1" applyBorder="1" applyAlignment="1">
      <alignment horizontal="center"/>
    </xf>
    <xf numFmtId="169" fontId="5" fillId="0" borderId="0" xfId="0" applyNumberFormat="1" applyFont="1"/>
    <xf numFmtId="169" fontId="5" fillId="0" borderId="0" xfId="0" applyNumberFormat="1" applyFont="1" applyFill="1"/>
    <xf numFmtId="169" fontId="16" fillId="0" borderId="0" xfId="0" applyNumberFormat="1" applyFont="1" applyAlignment="1">
      <alignment horizontal="center"/>
    </xf>
    <xf numFmtId="168" fontId="3" fillId="0" borderId="0" xfId="3" applyNumberFormat="1" applyFont="1" applyBorder="1" applyProtection="1"/>
    <xf numFmtId="168" fontId="3" fillId="0" borderId="0" xfId="3" applyNumberFormat="1" applyFont="1" applyFill="1" applyBorder="1" applyProtection="1"/>
    <xf numFmtId="0" fontId="1" fillId="0" borderId="0" xfId="0" applyFont="1"/>
    <xf numFmtId="0" fontId="48" fillId="0" borderId="0" xfId="0" applyFont="1"/>
    <xf numFmtId="166" fontId="48" fillId="0" borderId="0" xfId="2" applyNumberFormat="1" applyFont="1" applyAlignment="1">
      <alignment horizontal="center"/>
    </xf>
    <xf numFmtId="174" fontId="9" fillId="0" borderId="0" xfId="0" applyNumberFormat="1" applyFont="1"/>
    <xf numFmtId="174" fontId="9" fillId="0" borderId="0" xfId="0" applyNumberFormat="1" applyFont="1" applyFill="1"/>
    <xf numFmtId="174" fontId="9" fillId="0" borderId="3" xfId="0" applyNumberFormat="1" applyFont="1" applyFill="1" applyBorder="1"/>
    <xf numFmtId="174" fontId="9" fillId="0" borderId="0" xfId="0" applyNumberFormat="1" applyFont="1" applyFill="1" applyProtection="1"/>
    <xf numFmtId="174" fontId="9" fillId="0" borderId="4" xfId="0" applyNumberFormat="1" applyFont="1" applyFill="1" applyBorder="1" applyProtection="1"/>
    <xf numFmtId="174" fontId="2" fillId="0" borderId="0" xfId="0" applyNumberFormat="1" applyFont="1"/>
    <xf numFmtId="174" fontId="2" fillId="0" borderId="0" xfId="0" applyNumberFormat="1" applyFont="1" applyFill="1" applyProtection="1"/>
    <xf numFmtId="174" fontId="2" fillId="0" borderId="0" xfId="0" applyNumberFormat="1" applyFont="1" applyFill="1" applyBorder="1" applyProtection="1"/>
    <xf numFmtId="174" fontId="7" fillId="0" borderId="0" xfId="0" applyNumberFormat="1" applyFont="1" applyFill="1" applyAlignment="1" applyProtection="1">
      <alignment horizontal="center"/>
    </xf>
    <xf numFmtId="174" fontId="26" fillId="0" borderId="0" xfId="0" applyNumberFormat="1" applyFont="1" applyAlignment="1">
      <alignment horizontal="center"/>
    </xf>
    <xf numFmtId="174" fontId="3" fillId="0" borderId="0" xfId="0" applyNumberFormat="1" applyFont="1" applyFill="1" applyBorder="1" applyAlignment="1" applyProtection="1">
      <alignment horizontal="center"/>
    </xf>
    <xf numFmtId="174" fontId="7" fillId="0" borderId="1" xfId="0" applyNumberFormat="1" applyFont="1" applyFill="1" applyBorder="1" applyAlignment="1">
      <alignment horizontal="center"/>
    </xf>
    <xf numFmtId="174" fontId="4" fillId="0" borderId="0" xfId="0" applyNumberFormat="1" applyFont="1" applyFill="1" applyAlignment="1" applyProtection="1">
      <alignment horizontal="center"/>
    </xf>
    <xf numFmtId="174" fontId="19" fillId="0" borderId="0" xfId="0" applyNumberFormat="1" applyFont="1" applyFill="1" applyAlignment="1" applyProtection="1">
      <alignment horizontal="right"/>
    </xf>
    <xf numFmtId="174" fontId="8" fillId="0" borderId="0" xfId="0" applyNumberFormat="1" applyFont="1" applyFill="1" applyBorder="1" applyProtection="1"/>
    <xf numFmtId="174" fontId="9" fillId="0" borderId="0" xfId="0" applyNumberFormat="1" applyFont="1" applyFill="1" applyBorder="1" applyProtection="1"/>
    <xf numFmtId="174" fontId="41" fillId="0" borderId="0" xfId="0" applyNumberFormat="1" applyFont="1" applyFill="1" applyProtection="1"/>
    <xf numFmtId="174" fontId="3" fillId="0" borderId="0" xfId="0" applyNumberFormat="1" applyFont="1" applyFill="1" applyBorder="1" applyProtection="1"/>
    <xf numFmtId="174" fontId="3" fillId="0" borderId="0" xfId="0" applyNumberFormat="1" applyFont="1" applyFill="1" applyBorder="1" applyAlignment="1">
      <alignment horizontal="center"/>
    </xf>
    <xf numFmtId="174" fontId="9" fillId="0" borderId="0" xfId="0" applyNumberFormat="1" applyFont="1" applyFill="1" applyAlignment="1" applyProtection="1">
      <alignment horizontal="right"/>
    </xf>
    <xf numFmtId="174" fontId="9" fillId="0" borderId="0" xfId="0" applyNumberFormat="1" applyFont="1" applyFill="1" applyAlignment="1" applyProtection="1">
      <alignment vertical="center"/>
    </xf>
    <xf numFmtId="174" fontId="9" fillId="0" borderId="3" xfId="0" applyNumberFormat="1" applyFont="1" applyFill="1" applyBorder="1" applyAlignment="1" applyProtection="1">
      <alignment vertical="center"/>
    </xf>
    <xf numFmtId="174" fontId="3" fillId="0" borderId="0" xfId="0" applyNumberFormat="1" applyFont="1" applyFill="1" applyAlignment="1" applyProtection="1">
      <alignment horizontal="right"/>
    </xf>
    <xf numFmtId="174" fontId="4" fillId="0" borderId="0" xfId="0" applyNumberFormat="1" applyFont="1"/>
    <xf numFmtId="174" fontId="10" fillId="0" borderId="0" xfId="0" applyNumberFormat="1" applyFont="1"/>
    <xf numFmtId="174" fontId="3" fillId="0" borderId="4" xfId="0" applyNumberFormat="1" applyFont="1" applyFill="1" applyBorder="1" applyProtection="1"/>
    <xf numFmtId="174" fontId="2" fillId="0" borderId="4" xfId="0" applyNumberFormat="1" applyFont="1" applyFill="1" applyBorder="1" applyProtection="1"/>
    <xf numFmtId="174" fontId="22" fillId="0" borderId="0" xfId="0" applyNumberFormat="1" applyFont="1"/>
    <xf numFmtId="174" fontId="9" fillId="0" borderId="0" xfId="0" applyNumberFormat="1" applyFont="1" applyFill="1" applyAlignment="1">
      <alignment horizontal="right"/>
    </xf>
    <xf numFmtId="174" fontId="42" fillId="0" borderId="0" xfId="0" applyNumberFormat="1" applyFont="1"/>
    <xf numFmtId="174" fontId="16" fillId="0" borderId="0" xfId="0" applyNumberFormat="1" applyFont="1"/>
    <xf numFmtId="174" fontId="7" fillId="0" borderId="0" xfId="0" applyNumberFormat="1" applyFont="1" applyAlignment="1">
      <alignment horizontal="right"/>
    </xf>
    <xf numFmtId="174" fontId="42" fillId="0" borderId="0" xfId="0" applyNumberFormat="1" applyFont="1" applyFill="1" applyProtection="1"/>
    <xf numFmtId="174" fontId="26" fillId="0" borderId="0" xfId="0" applyNumberFormat="1" applyFont="1"/>
    <xf numFmtId="174" fontId="7" fillId="0" borderId="0" xfId="0" applyNumberFormat="1" applyFont="1" applyFill="1" applyBorder="1" applyProtection="1"/>
    <xf numFmtId="174" fontId="43" fillId="0" borderId="0" xfId="0" applyNumberFormat="1" applyFont="1" applyFill="1" applyProtection="1"/>
    <xf numFmtId="174" fontId="7" fillId="0" borderId="0" xfId="0" applyNumberFormat="1" applyFont="1"/>
    <xf numFmtId="174" fontId="7" fillId="0" borderId="0" xfId="0" applyNumberFormat="1" applyFont="1" applyFill="1" applyProtection="1"/>
    <xf numFmtId="174" fontId="43" fillId="0" borderId="0" xfId="0" applyNumberFormat="1" applyFont="1" applyFill="1" applyAlignment="1" applyProtection="1">
      <alignment horizontal="right"/>
    </xf>
    <xf numFmtId="174" fontId="36" fillId="0" borderId="0" xfId="0" applyNumberFormat="1" applyFont="1" applyFill="1" applyAlignment="1" applyProtection="1">
      <alignment horizontal="right"/>
    </xf>
    <xf numFmtId="174" fontId="7" fillId="0" borderId="0" xfId="0" applyNumberFormat="1" applyFont="1" applyFill="1"/>
    <xf numFmtId="174" fontId="7" fillId="0" borderId="0" xfId="0" applyNumberFormat="1" applyFont="1" applyFill="1" applyAlignment="1" applyProtection="1">
      <alignment horizontal="right"/>
    </xf>
    <xf numFmtId="174" fontId="43" fillId="0" borderId="0" xfId="0" applyNumberFormat="1" applyFont="1"/>
    <xf numFmtId="174" fontId="42" fillId="0" borderId="3" xfId="0" applyNumberFormat="1" applyFont="1" applyBorder="1"/>
    <xf numFmtId="174" fontId="2" fillId="0" borderId="4" xfId="0" applyNumberFormat="1" applyFont="1" applyFill="1" applyBorder="1" applyAlignment="1" applyProtection="1">
      <alignment horizontal="right"/>
    </xf>
    <xf numFmtId="174" fontId="3" fillId="0" borderId="2" xfId="0" applyNumberFormat="1" applyFont="1" applyFill="1" applyBorder="1" applyProtection="1"/>
    <xf numFmtId="166" fontId="9" fillId="0" borderId="0" xfId="2" applyNumberFormat="1" applyFont="1" applyFill="1"/>
    <xf numFmtId="166" fontId="9" fillId="0" borderId="3" xfId="2" applyNumberFormat="1" applyFont="1" applyFill="1" applyBorder="1"/>
    <xf numFmtId="166" fontId="9" fillId="0" borderId="4" xfId="2" applyNumberFormat="1" applyFont="1" applyBorder="1"/>
    <xf numFmtId="166" fontId="32" fillId="0" borderId="0" xfId="2" applyNumberFormat="1" applyFont="1"/>
    <xf numFmtId="174" fontId="9" fillId="0" borderId="1" xfId="0" applyNumberFormat="1" applyFont="1" applyBorder="1"/>
    <xf numFmtId="174" fontId="8" fillId="0" borderId="3" xfId="0" applyNumberFormat="1" applyFont="1" applyFill="1" applyBorder="1" applyProtection="1"/>
    <xf numFmtId="174" fontId="3" fillId="0" borderId="2" xfId="0" applyNumberFormat="1" applyFont="1" applyBorder="1"/>
    <xf numFmtId="167" fontId="1" fillId="0" borderId="0" xfId="0" applyNumberFormat="1" applyFont="1"/>
    <xf numFmtId="169" fontId="1" fillId="0" borderId="0" xfId="1" applyNumberFormat="1" applyFont="1" applyFill="1"/>
    <xf numFmtId="169" fontId="16" fillId="0" borderId="0" xfId="1" applyNumberFormat="1" applyFont="1"/>
    <xf numFmtId="169" fontId="1" fillId="0" borderId="0" xfId="1" applyNumberFormat="1" applyFont="1" applyFill="1" applyProtection="1"/>
    <xf numFmtId="1" fontId="10" fillId="0" borderId="0" xfId="0" applyNumberFormat="1" applyFont="1" applyAlignment="1">
      <alignment horizontal="right"/>
    </xf>
    <xf numFmtId="174" fontId="2" fillId="0" borderId="3" xfId="0" applyNumberFormat="1" applyFont="1" applyFill="1" applyBorder="1" applyProtection="1"/>
    <xf numFmtId="0" fontId="42" fillId="0" borderId="0" xfId="0" applyFont="1"/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166" fontId="48" fillId="0" borderId="0" xfId="0" applyNumberFormat="1" applyFont="1"/>
    <xf numFmtId="0" fontId="48" fillId="0" borderId="0" xfId="0" applyFont="1" applyAlignment="1">
      <alignment horizontal="center"/>
    </xf>
    <xf numFmtId="0" fontId="48" fillId="0" borderId="0" xfId="1" applyNumberFormat="1" applyFont="1" applyAlignment="1">
      <alignment horizontal="center"/>
    </xf>
    <xf numFmtId="166" fontId="43" fillId="0" borderId="0" xfId="2" applyNumberFormat="1" applyFont="1" applyAlignment="1">
      <alignment horizontal="center"/>
    </xf>
    <xf numFmtId="166" fontId="42" fillId="0" borderId="0" xfId="2" applyNumberFormat="1" applyFont="1" applyAlignment="1">
      <alignment horizontal="center"/>
    </xf>
    <xf numFmtId="0" fontId="42" fillId="0" borderId="3" xfId="0" applyFont="1" applyBorder="1"/>
    <xf numFmtId="0" fontId="43" fillId="0" borderId="3" xfId="0" applyFont="1" applyBorder="1"/>
    <xf numFmtId="166" fontId="43" fillId="0" borderId="3" xfId="2" applyNumberFormat="1" applyFont="1" applyBorder="1" applyAlignment="1">
      <alignment horizontal="center"/>
    </xf>
    <xf numFmtId="166" fontId="42" fillId="0" borderId="3" xfId="2" applyNumberFormat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166" fontId="42" fillId="0" borderId="17" xfId="2" applyNumberFormat="1" applyFont="1" applyBorder="1" applyAlignment="1">
      <alignment horizontal="center"/>
    </xf>
    <xf numFmtId="166" fontId="1" fillId="0" borderId="0" xfId="2" applyNumberFormat="1" applyFont="1" applyAlignment="1">
      <alignment horizontal="center"/>
    </xf>
    <xf numFmtId="166" fontId="43" fillId="0" borderId="0" xfId="2" applyNumberFormat="1" applyFont="1" applyAlignment="1"/>
    <xf numFmtId="0" fontId="7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174" fontId="16" fillId="0" borderId="0" xfId="0" applyNumberFormat="1" applyFont="1" applyFill="1" applyBorder="1"/>
    <xf numFmtId="166" fontId="5" fillId="0" borderId="0" xfId="2" applyNumberFormat="1" applyFont="1" applyFill="1"/>
    <xf numFmtId="166" fontId="5" fillId="0" borderId="0" xfId="2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9" fontId="3" fillId="0" borderId="0" xfId="1" applyNumberFormat="1" applyFont="1" applyBorder="1" applyProtection="1"/>
    <xf numFmtId="169" fontId="9" fillId="0" borderId="0" xfId="1" applyNumberFormat="1" applyFont="1" applyAlignment="1"/>
    <xf numFmtId="169" fontId="19" fillId="0" borderId="0" xfId="1" applyNumberFormat="1" applyFont="1" applyAlignment="1" applyProtection="1"/>
    <xf numFmtId="169" fontId="2" fillId="0" borderId="0" xfId="1" applyNumberFormat="1" applyFont="1" applyFill="1"/>
    <xf numFmtId="169" fontId="19" fillId="0" borderId="2" xfId="1" applyNumberFormat="1" applyFont="1" applyFill="1" applyBorder="1" applyAlignment="1" applyProtection="1"/>
    <xf numFmtId="169" fontId="11" fillId="0" borderId="0" xfId="1" applyNumberFormat="1" applyFont="1" applyFill="1" applyProtection="1"/>
    <xf numFmtId="43" fontId="0" fillId="0" borderId="0" xfId="1" applyFont="1"/>
    <xf numFmtId="169" fontId="4" fillId="0" borderId="0" xfId="1" applyNumberFormat="1" applyFont="1"/>
    <xf numFmtId="169" fontId="2" fillId="0" borderId="0" xfId="1" applyNumberFormat="1" applyFont="1" applyFill="1" applyAlignment="1">
      <alignment horizontal="right"/>
    </xf>
    <xf numFmtId="169" fontId="2" fillId="0" borderId="0" xfId="1" applyNumberFormat="1" applyFont="1" applyFill="1" applyAlignment="1" applyProtection="1">
      <alignment horizontal="right"/>
    </xf>
    <xf numFmtId="169" fontId="3" fillId="0" borderId="2" xfId="1" applyNumberFormat="1" applyFont="1" applyFill="1" applyBorder="1" applyProtection="1"/>
    <xf numFmtId="169" fontId="3" fillId="0" borderId="0" xfId="1" applyNumberFormat="1" applyFont="1" applyFill="1" applyBorder="1" applyProtection="1"/>
    <xf numFmtId="0" fontId="3" fillId="0" borderId="0" xfId="0" applyFont="1" applyFill="1"/>
    <xf numFmtId="0" fontId="2" fillId="0" borderId="0" xfId="0" applyFont="1" applyFill="1"/>
    <xf numFmtId="169" fontId="10" fillId="0" borderId="0" xfId="1" applyNumberFormat="1" applyFont="1" applyFill="1" applyAlignment="1">
      <alignment horizontal="right"/>
    </xf>
    <xf numFmtId="169" fontId="3" fillId="0" borderId="20" xfId="1" applyNumberFormat="1" applyFont="1" applyFill="1" applyBorder="1" applyProtection="1"/>
    <xf numFmtId="169" fontId="17" fillId="0" borderId="0" xfId="1" applyNumberFormat="1" applyFont="1" applyFill="1" applyProtection="1"/>
    <xf numFmtId="174" fontId="9" fillId="0" borderId="3" xfId="0" applyNumberFormat="1" applyFont="1" applyFill="1" applyBorder="1" applyAlignment="1">
      <alignment horizontal="right"/>
    </xf>
    <xf numFmtId="174" fontId="9" fillId="0" borderId="0" xfId="0" applyNumberFormat="1" applyFont="1" applyFill="1" applyBorder="1"/>
    <xf numFmtId="174" fontId="9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174" fontId="2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37" fontId="4" fillId="0" borderId="0" xfId="0" applyNumberFormat="1" applyFont="1" applyFill="1"/>
    <xf numFmtId="37" fontId="16" fillId="0" borderId="0" xfId="0" applyNumberFormat="1" applyFont="1" applyFill="1"/>
    <xf numFmtId="3" fontId="11" fillId="0" borderId="0" xfId="0" applyNumberFormat="1" applyFont="1" applyFill="1" applyAlignment="1" applyProtection="1">
      <alignment horizontal="center"/>
    </xf>
    <xf numFmtId="1" fontId="26" fillId="0" borderId="0" xfId="0" applyNumberFormat="1" applyFont="1" applyFill="1" applyAlignment="1">
      <alignment horizontal="center"/>
    </xf>
    <xf numFmtId="3" fontId="26" fillId="0" borderId="0" xfId="0" applyNumberFormat="1" applyFont="1" applyFill="1" applyAlignment="1">
      <alignment horizontal="center"/>
    </xf>
    <xf numFmtId="169" fontId="9" fillId="0" borderId="0" xfId="0" applyNumberFormat="1" applyFont="1" applyBorder="1" applyProtection="1"/>
    <xf numFmtId="169" fontId="8" fillId="0" borderId="0" xfId="0" applyNumberFormat="1" applyFont="1" applyFill="1" applyBorder="1" applyProtection="1"/>
    <xf numFmtId="169" fontId="9" fillId="0" borderId="4" xfId="1" applyNumberFormat="1" applyFont="1" applyFill="1" applyBorder="1" applyAlignment="1">
      <alignment horizontal="right"/>
    </xf>
    <xf numFmtId="169" fontId="19" fillId="0" borderId="0" xfId="1" applyNumberFormat="1" applyFont="1" applyFill="1" applyAlignment="1" applyProtection="1"/>
    <xf numFmtId="14" fontId="0" fillId="0" borderId="0" xfId="0" applyNumberFormat="1"/>
    <xf numFmtId="174" fontId="16" fillId="0" borderId="0" xfId="0" applyNumberFormat="1" applyFont="1" applyFill="1"/>
    <xf numFmtId="174" fontId="2" fillId="0" borderId="0" xfId="0" applyNumberFormat="1" applyFont="1" applyFill="1"/>
    <xf numFmtId="174" fontId="2" fillId="0" borderId="0" xfId="0" applyNumberFormat="1" applyFont="1" applyFill="1" applyBorder="1"/>
    <xf numFmtId="174" fontId="4" fillId="0" borderId="0" xfId="0" applyNumberFormat="1" applyFont="1" applyFill="1" applyBorder="1" applyAlignment="1">
      <alignment horizontal="center"/>
    </xf>
    <xf numFmtId="174" fontId="22" fillId="0" borderId="0" xfId="0" applyNumberFormat="1" applyFont="1" applyFill="1" applyBorder="1" applyAlignment="1">
      <alignment horizontal="center"/>
    </xf>
    <xf numFmtId="174" fontId="4" fillId="0" borderId="0" xfId="0" applyNumberFormat="1" applyFont="1" applyFill="1" applyAlignment="1">
      <alignment horizontal="center"/>
    </xf>
    <xf numFmtId="174" fontId="9" fillId="0" borderId="4" xfId="0" applyNumberFormat="1" applyFont="1" applyFill="1" applyBorder="1"/>
    <xf numFmtId="174" fontId="3" fillId="0" borderId="0" xfId="0" applyNumberFormat="1" applyFont="1" applyFill="1"/>
    <xf numFmtId="174" fontId="6" fillId="0" borderId="0" xfId="0" applyNumberFormat="1" applyFont="1" applyFill="1" applyProtection="1"/>
    <xf numFmtId="174" fontId="11" fillId="0" borderId="0" xfId="0" applyNumberFormat="1" applyFont="1" applyFill="1" applyAlignment="1" applyProtection="1">
      <alignment horizontal="right"/>
    </xf>
    <xf numFmtId="174" fontId="2" fillId="0" borderId="0" xfId="0" applyNumberFormat="1" applyFont="1" applyFill="1" applyAlignment="1">
      <alignment horizontal="right"/>
    </xf>
    <xf numFmtId="174" fontId="6" fillId="0" borderId="0" xfId="0" applyNumberFormat="1" applyFont="1" applyFill="1" applyAlignment="1" applyProtection="1">
      <alignment horizontal="right"/>
    </xf>
    <xf numFmtId="174" fontId="11" fillId="0" borderId="0" xfId="0" applyNumberFormat="1" applyFont="1" applyFill="1" applyProtection="1"/>
    <xf numFmtId="174" fontId="11" fillId="0" borderId="1" xfId="0" applyNumberFormat="1" applyFont="1" applyFill="1" applyBorder="1" applyAlignment="1" applyProtection="1">
      <alignment horizontal="right"/>
    </xf>
    <xf numFmtId="174" fontId="4" fillId="0" borderId="0" xfId="0" applyNumberFormat="1" applyFont="1" applyFill="1" applyAlignment="1">
      <alignment horizontal="right"/>
    </xf>
    <xf numFmtId="174" fontId="6" fillId="0" borderId="1" xfId="0" applyNumberFormat="1" applyFont="1" applyFill="1" applyBorder="1" applyAlignment="1" applyProtection="1">
      <alignment horizontal="right"/>
    </xf>
    <xf numFmtId="174" fontId="19" fillId="0" borderId="0" xfId="0" applyNumberFormat="1" applyFont="1" applyFill="1" applyProtection="1"/>
    <xf numFmtId="174" fontId="10" fillId="0" borderId="0" xfId="0" applyNumberFormat="1" applyFont="1" applyFill="1" applyAlignment="1">
      <alignment horizontal="center"/>
    </xf>
    <xf numFmtId="174" fontId="10" fillId="0" borderId="0" xfId="0" applyNumberFormat="1" applyFont="1" applyFill="1" applyAlignment="1" applyProtection="1">
      <alignment horizontal="center"/>
    </xf>
    <xf numFmtId="174" fontId="10" fillId="0" borderId="0" xfId="0" applyNumberFormat="1" applyFont="1" applyFill="1" applyAlignment="1">
      <alignment horizontal="right"/>
    </xf>
    <xf numFmtId="174" fontId="9" fillId="0" borderId="1" xfId="0" applyNumberFormat="1" applyFont="1" applyFill="1" applyBorder="1" applyProtection="1"/>
    <xf numFmtId="174" fontId="2" fillId="0" borderId="0" xfId="0" applyNumberFormat="1" applyFont="1" applyFill="1" applyAlignment="1">
      <alignment horizontal="center"/>
    </xf>
    <xf numFmtId="174" fontId="11" fillId="0" borderId="0" xfId="0" applyNumberFormat="1" applyFont="1" applyFill="1" applyAlignment="1" applyProtection="1">
      <alignment horizontal="center"/>
    </xf>
    <xf numFmtId="174" fontId="7" fillId="0" borderId="0" xfId="0" applyNumberFormat="1" applyFont="1" applyFill="1" applyAlignment="1">
      <alignment horizontal="center"/>
    </xf>
    <xf numFmtId="174" fontId="26" fillId="0" borderId="0" xfId="0" applyNumberFormat="1" applyFont="1" applyFill="1" applyAlignment="1">
      <alignment horizontal="center"/>
    </xf>
    <xf numFmtId="174" fontId="2" fillId="0" borderId="0" xfId="0" applyNumberFormat="1" applyFont="1" applyFill="1" applyBorder="1" applyAlignment="1">
      <alignment horizontal="center"/>
    </xf>
    <xf numFmtId="174" fontId="9" fillId="0" borderId="0" xfId="0" applyNumberFormat="1" applyFont="1" applyFill="1" applyBorder="1" applyAlignment="1">
      <alignment horizontal="center"/>
    </xf>
    <xf numFmtId="174" fontId="22" fillId="0" borderId="0" xfId="0" applyNumberFormat="1" applyFont="1" applyFill="1" applyBorder="1" applyAlignment="1">
      <alignment horizontal="right"/>
    </xf>
    <xf numFmtId="174" fontId="0" fillId="0" borderId="0" xfId="0" applyNumberFormat="1" applyFill="1"/>
    <xf numFmtId="174" fontId="4" fillId="0" borderId="0" xfId="0" applyNumberFormat="1" applyFont="1" applyFill="1"/>
    <xf numFmtId="174" fontId="8" fillId="0" borderId="0" xfId="0" applyNumberFormat="1" applyFont="1" applyFill="1" applyBorder="1"/>
    <xf numFmtId="174" fontId="8" fillId="0" borderId="0" xfId="0" applyNumberFormat="1" applyFont="1" applyFill="1"/>
    <xf numFmtId="174" fontId="3" fillId="0" borderId="0" xfId="0" applyNumberFormat="1" applyFont="1" applyFill="1" applyBorder="1"/>
    <xf numFmtId="174" fontId="9" fillId="0" borderId="1" xfId="0" applyNumberFormat="1" applyFont="1" applyFill="1" applyBorder="1" applyAlignment="1" applyProtection="1">
      <alignment horizontal="right"/>
    </xf>
    <xf numFmtId="174" fontId="3" fillId="0" borderId="4" xfId="0" applyNumberFormat="1" applyFont="1" applyFill="1" applyBorder="1"/>
    <xf numFmtId="174" fontId="2" fillId="0" borderId="4" xfId="0" applyNumberFormat="1" applyFont="1" applyFill="1" applyBorder="1"/>
    <xf numFmtId="174" fontId="22" fillId="0" borderId="0" xfId="0" applyNumberFormat="1" applyFont="1" applyFill="1"/>
    <xf numFmtId="174" fontId="9" fillId="0" borderId="0" xfId="0" applyNumberFormat="1" applyFont="1" applyFill="1" applyAlignment="1">
      <alignment horizontal="left"/>
    </xf>
    <xf numFmtId="174" fontId="9" fillId="0" borderId="0" xfId="0" applyNumberFormat="1" applyFont="1" applyFill="1" applyAlignment="1">
      <alignment horizontal="left" wrapText="1"/>
    </xf>
    <xf numFmtId="174" fontId="2" fillId="0" borderId="0" xfId="0" applyNumberFormat="1" applyFont="1" applyFill="1" applyBorder="1" applyAlignment="1"/>
    <xf numFmtId="174" fontId="2" fillId="0" borderId="0" xfId="0" applyNumberFormat="1" applyFont="1" applyFill="1" applyBorder="1" applyAlignment="1" applyProtection="1"/>
    <xf numFmtId="174" fontId="9" fillId="0" borderId="0" xfId="0" applyNumberFormat="1" applyFont="1" applyFill="1" applyBorder="1" applyAlignment="1"/>
    <xf numFmtId="174" fontId="2" fillId="0" borderId="0" xfId="0" applyNumberFormat="1" applyFont="1" applyFill="1" applyBorder="1" applyAlignment="1" applyProtection="1">
      <alignment horizontal="center"/>
    </xf>
    <xf numFmtId="174" fontId="9" fillId="0" borderId="0" xfId="0" applyNumberFormat="1" applyFont="1" applyFill="1" applyBorder="1" applyAlignment="1" applyProtection="1">
      <alignment horizontal="center"/>
    </xf>
    <xf numFmtId="43" fontId="2" fillId="0" borderId="0" xfId="0" applyNumberFormat="1" applyFont="1" applyFill="1" applyBorder="1" applyProtection="1"/>
    <xf numFmtId="0" fontId="9" fillId="0" borderId="0" xfId="0" applyFont="1" applyFill="1" applyAlignment="1">
      <alignment horizontal="right"/>
    </xf>
    <xf numFmtId="0" fontId="8" fillId="0" borderId="4" xfId="0" applyFont="1" applyFill="1" applyBorder="1"/>
    <xf numFmtId="0" fontId="2" fillId="0" borderId="0" xfId="0" applyFont="1" applyFill="1" applyBorder="1"/>
    <xf numFmtId="0" fontId="12" fillId="0" borderId="0" xfId="0" applyFont="1" applyFill="1" applyProtection="1"/>
    <xf numFmtId="3" fontId="2" fillId="0" borderId="0" xfId="0" applyNumberFormat="1" applyFont="1" applyFill="1" applyBorder="1"/>
    <xf numFmtId="0" fontId="44" fillId="0" borderId="0" xfId="0" applyFont="1" applyFill="1" applyBorder="1"/>
    <xf numFmtId="169" fontId="9" fillId="0" borderId="0" xfId="1" applyNumberFormat="1" applyFont="1" applyFill="1" applyAlignment="1" applyProtection="1">
      <alignment horizontal="right"/>
    </xf>
    <xf numFmtId="169" fontId="9" fillId="0" borderId="1" xfId="1" applyNumberFormat="1" applyFont="1" applyFill="1" applyBorder="1" applyAlignment="1" applyProtection="1">
      <alignment horizontal="right"/>
    </xf>
    <xf numFmtId="169" fontId="10" fillId="0" borderId="0" xfId="1" applyNumberFormat="1" applyFont="1" applyFill="1"/>
    <xf numFmtId="169" fontId="9" fillId="0" borderId="4" xfId="1" applyNumberFormat="1" applyFont="1" applyFill="1" applyBorder="1" applyAlignment="1" applyProtection="1">
      <alignment horizontal="right"/>
    </xf>
    <xf numFmtId="169" fontId="8" fillId="0" borderId="0" xfId="1" applyNumberFormat="1" applyFont="1" applyFill="1" applyBorder="1" applyAlignment="1" applyProtection="1">
      <alignment horizontal="right"/>
    </xf>
    <xf numFmtId="169" fontId="9" fillId="0" borderId="0" xfId="1" applyNumberFormat="1" applyFont="1" applyFill="1" applyBorder="1" applyAlignment="1">
      <alignment horizontal="right"/>
    </xf>
    <xf numFmtId="169" fontId="3" fillId="0" borderId="0" xfId="1" applyNumberFormat="1" applyFont="1" applyFill="1" applyBorder="1" applyAlignment="1" applyProtection="1">
      <alignment horizontal="right"/>
    </xf>
    <xf numFmtId="2" fontId="7" fillId="0" borderId="0" xfId="0" applyNumberFormat="1" applyFont="1" applyFill="1" applyAlignment="1">
      <alignment horizontal="center"/>
    </xf>
    <xf numFmtId="10" fontId="7" fillId="0" borderId="0" xfId="3" applyNumberFormat="1" applyFont="1" applyFill="1" applyAlignment="1">
      <alignment horizontal="center"/>
    </xf>
    <xf numFmtId="166" fontId="7" fillId="0" borderId="0" xfId="2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2" fontId="7" fillId="0" borderId="0" xfId="0" applyNumberFormat="1" applyFont="1" applyFill="1" applyAlignment="1"/>
    <xf numFmtId="2" fontId="7" fillId="0" borderId="0" xfId="0" applyNumberFormat="1" applyFont="1" applyFill="1" applyAlignment="1">
      <alignment horizontal="left"/>
    </xf>
    <xf numFmtId="10" fontId="5" fillId="0" borderId="0" xfId="3" applyNumberFormat="1" applyFont="1" applyFill="1" applyAlignment="1">
      <alignment horizontal="center"/>
    </xf>
    <xf numFmtId="168" fontId="5" fillId="0" borderId="0" xfId="3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44" fontId="5" fillId="0" borderId="0" xfId="0" applyNumberFormat="1" applyFont="1" applyFill="1" applyAlignment="1">
      <alignment horizontal="center"/>
    </xf>
    <xf numFmtId="166" fontId="7" fillId="0" borderId="0" xfId="2" applyNumberFormat="1" applyFont="1" applyFill="1" applyAlignment="1">
      <alignment horizontal="left"/>
    </xf>
    <xf numFmtId="44" fontId="7" fillId="0" borderId="0" xfId="2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1" fontId="5" fillId="0" borderId="0" xfId="0" applyNumberFormat="1" applyFont="1" applyFill="1" applyAlignment="1">
      <alignment horizontal="center"/>
    </xf>
    <xf numFmtId="1" fontId="5" fillId="0" borderId="0" xfId="2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/>
    </xf>
    <xf numFmtId="169" fontId="5" fillId="0" borderId="0" xfId="1" applyNumberFormat="1" applyFont="1" applyFill="1" applyAlignment="1">
      <alignment horizontal="center"/>
    </xf>
    <xf numFmtId="44" fontId="7" fillId="0" borderId="0" xfId="2" applyFont="1" applyFill="1" applyAlignment="1">
      <alignment horizontal="center"/>
    </xf>
    <xf numFmtId="44" fontId="5" fillId="0" borderId="0" xfId="2" applyFont="1" applyFill="1" applyAlignment="1">
      <alignment horizontal="center"/>
    </xf>
    <xf numFmtId="44" fontId="34" fillId="0" borderId="0" xfId="2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  <xf numFmtId="44" fontId="35" fillId="0" borderId="0" xfId="2" applyFont="1" applyFill="1" applyAlignment="1">
      <alignment horizontal="center"/>
    </xf>
    <xf numFmtId="9" fontId="5" fillId="0" borderId="0" xfId="3" applyFont="1" applyFill="1" applyAlignment="1">
      <alignment horizontal="center"/>
    </xf>
    <xf numFmtId="0" fontId="7" fillId="0" borderId="0" xfId="0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9" fontId="5" fillId="0" borderId="0" xfId="3" applyNumberFormat="1" applyFont="1" applyFill="1" applyAlignment="1">
      <alignment horizontal="center"/>
    </xf>
    <xf numFmtId="9" fontId="7" fillId="0" borderId="0" xfId="3" applyNumberFormat="1" applyFont="1" applyFill="1" applyAlignment="1">
      <alignment horizontal="center"/>
    </xf>
    <xf numFmtId="168" fontId="7" fillId="0" borderId="0" xfId="3" applyNumberFormat="1" applyFont="1" applyFill="1" applyAlignment="1">
      <alignment horizontal="center"/>
    </xf>
    <xf numFmtId="2" fontId="28" fillId="0" borderId="0" xfId="0" applyNumberFormat="1" applyFont="1" applyFill="1" applyAlignment="1">
      <alignment horizontal="center"/>
    </xf>
    <xf numFmtId="10" fontId="28" fillId="0" borderId="0" xfId="3" applyNumberFormat="1" applyFont="1" applyFill="1" applyAlignment="1">
      <alignment horizontal="center"/>
    </xf>
    <xf numFmtId="166" fontId="28" fillId="0" borderId="0" xfId="2" applyNumberFormat="1" applyFont="1" applyFill="1" applyAlignment="1">
      <alignment horizontal="center"/>
    </xf>
    <xf numFmtId="169" fontId="7" fillId="0" borderId="0" xfId="1" applyNumberFormat="1" applyFont="1" applyFill="1"/>
    <xf numFmtId="169" fontId="8" fillId="0" borderId="23" xfId="0" applyNumberFormat="1" applyFont="1" applyFill="1" applyBorder="1" applyProtection="1"/>
    <xf numFmtId="169" fontId="8" fillId="0" borderId="23" xfId="1" applyNumberFormat="1" applyFont="1" applyFill="1" applyBorder="1" applyProtection="1"/>
    <xf numFmtId="174" fontId="25" fillId="0" borderId="0" xfId="0" applyNumberFormat="1" applyFont="1"/>
    <xf numFmtId="166" fontId="9" fillId="0" borderId="5" xfId="2" applyNumberFormat="1" applyFont="1" applyFill="1" applyBorder="1" applyAlignment="1">
      <alignment horizontal="right"/>
    </xf>
    <xf numFmtId="166" fontId="9" fillId="0" borderId="5" xfId="2" applyNumberFormat="1" applyFont="1" applyFill="1" applyBorder="1" applyAlignment="1">
      <alignment horizontal="right" wrapText="1"/>
    </xf>
    <xf numFmtId="166" fontId="9" fillId="0" borderId="6" xfId="2" applyNumberFormat="1" applyFont="1" applyFill="1" applyBorder="1" applyAlignment="1">
      <alignment horizontal="right"/>
    </xf>
    <xf numFmtId="166" fontId="9" fillId="0" borderId="5" xfId="2" applyNumberFormat="1" applyFont="1" applyFill="1" applyBorder="1" applyAlignment="1">
      <alignment horizontal="center"/>
    </xf>
    <xf numFmtId="169" fontId="2" fillId="0" borderId="3" xfId="1" applyNumberFormat="1" applyFont="1" applyFill="1" applyBorder="1" applyAlignment="1" applyProtection="1">
      <alignment horizontal="right"/>
    </xf>
    <xf numFmtId="165" fontId="2" fillId="0" borderId="0" xfId="0" applyNumberFormat="1" applyFont="1"/>
    <xf numFmtId="3" fontId="3" fillId="0" borderId="0" xfId="0" applyNumberFormat="1" applyFont="1" applyFill="1" applyAlignment="1"/>
    <xf numFmtId="37" fontId="2" fillId="0" borderId="0" xfId="0" applyNumberFormat="1" applyFont="1" applyProtection="1"/>
    <xf numFmtId="3" fontId="6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37" fontId="3" fillId="0" borderId="0" xfId="0" applyNumberFormat="1" applyFont="1" applyFill="1" applyAlignment="1" applyProtection="1">
      <alignment horizontal="center"/>
    </xf>
    <xf numFmtId="1" fontId="22" fillId="0" borderId="0" xfId="0" applyNumberFormat="1" applyFont="1" applyAlignment="1">
      <alignment horizontal="center"/>
    </xf>
    <xf numFmtId="37" fontId="3" fillId="0" borderId="0" xfId="0" applyNumberFormat="1" applyFont="1" applyAlignment="1" applyProtection="1">
      <alignment horizontal="center"/>
    </xf>
    <xf numFmtId="3" fontId="3" fillId="0" borderId="1" xfId="0" applyNumberFormat="1" applyFont="1" applyFill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" fontId="22" fillId="0" borderId="0" xfId="0" applyNumberFormat="1" applyFont="1" applyAlignment="1">
      <alignment horizontal="center"/>
    </xf>
    <xf numFmtId="165" fontId="2" fillId="0" borderId="0" xfId="0" applyNumberFormat="1" applyFont="1" applyFill="1"/>
    <xf numFmtId="43" fontId="2" fillId="0" borderId="0" xfId="1" applyFont="1" applyFill="1"/>
    <xf numFmtId="1" fontId="2" fillId="0" borderId="0" xfId="0" applyNumberFormat="1" applyFont="1" applyFill="1"/>
    <xf numFmtId="165" fontId="2" fillId="0" borderId="0" xfId="0" applyNumberFormat="1" applyFont="1" applyProtection="1"/>
    <xf numFmtId="169" fontId="4" fillId="0" borderId="0" xfId="1" applyNumberFormat="1" applyFont="1" applyProtection="1"/>
    <xf numFmtId="169" fontId="2" fillId="0" borderId="0" xfId="1" applyNumberFormat="1" applyFont="1" applyFill="1" applyProtection="1"/>
    <xf numFmtId="169" fontId="2" fillId="0" borderId="0" xfId="1" applyNumberFormat="1" applyFont="1"/>
    <xf numFmtId="3" fontId="2" fillId="0" borderId="0" xfId="0" applyNumberFormat="1" applyFont="1"/>
    <xf numFmtId="169" fontId="2" fillId="0" borderId="0" xfId="1" applyNumberFormat="1" applyFont="1" applyFill="1" applyBorder="1" applyProtection="1"/>
    <xf numFmtId="169" fontId="2" fillId="0" borderId="3" xfId="1" applyNumberFormat="1" applyFont="1" applyFill="1" applyBorder="1" applyProtection="1"/>
    <xf numFmtId="37" fontId="2" fillId="0" borderId="0" xfId="0" applyNumberFormat="1" applyFont="1" applyFill="1" applyProtection="1"/>
    <xf numFmtId="169" fontId="3" fillId="0" borderId="19" xfId="1" applyNumberFormat="1" applyFont="1" applyFill="1" applyBorder="1" applyProtection="1"/>
    <xf numFmtId="169" fontId="2" fillId="0" borderId="0" xfId="1" applyNumberFormat="1" applyFont="1" applyFill="1" applyBorder="1" applyAlignment="1" applyProtection="1">
      <alignment horizontal="right"/>
    </xf>
    <xf numFmtId="169" fontId="4" fillId="0" borderId="0" xfId="1" applyNumberFormat="1" applyFont="1" applyFill="1" applyAlignment="1">
      <alignment horizontal="center"/>
    </xf>
    <xf numFmtId="1" fontId="2" fillId="0" borderId="0" xfId="0" applyNumberFormat="1" applyFont="1" applyProtection="1"/>
    <xf numFmtId="1" fontId="2" fillId="0" borderId="0" xfId="0" applyNumberFormat="1" applyFont="1" applyFill="1" applyProtection="1"/>
    <xf numFmtId="1" fontId="2" fillId="0" borderId="0" xfId="0" applyNumberFormat="1" applyFont="1"/>
    <xf numFmtId="3" fontId="6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>
      <alignment horizontal="center"/>
    </xf>
    <xf numFmtId="1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center"/>
    </xf>
    <xf numFmtId="172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Protection="1"/>
    <xf numFmtId="172" fontId="6" fillId="0" borderId="0" xfId="0" applyNumberFormat="1" applyFont="1" applyFill="1" applyBorder="1" applyAlignment="1" applyProtection="1">
      <alignment horizontal="right"/>
    </xf>
    <xf numFmtId="1" fontId="4" fillId="0" borderId="0" xfId="0" applyNumberFormat="1" applyFont="1" applyFill="1" applyBorder="1" applyAlignment="1">
      <alignment horizontal="right"/>
    </xf>
    <xf numFmtId="172" fontId="2" fillId="0" borderId="4" xfId="0" applyNumberFormat="1" applyFont="1" applyFill="1" applyBorder="1" applyAlignment="1">
      <alignment horizontal="right"/>
    </xf>
    <xf numFmtId="0" fontId="19" fillId="0" borderId="0" xfId="0" applyFont="1" applyFill="1" applyBorder="1" applyProtection="1"/>
    <xf numFmtId="172" fontId="19" fillId="0" borderId="0" xfId="0" applyNumberFormat="1" applyFont="1" applyFill="1" applyBorder="1" applyAlignment="1" applyProtection="1">
      <alignment horizontal="right"/>
    </xf>
    <xf numFmtId="37" fontId="3" fillId="0" borderId="0" xfId="0" applyNumberFormat="1" applyFont="1" applyFill="1" applyBorder="1" applyProtection="1"/>
    <xf numFmtId="37" fontId="2" fillId="0" borderId="0" xfId="0" applyNumberFormat="1" applyFont="1" applyFill="1" applyAlignment="1">
      <alignment horizontal="right"/>
    </xf>
    <xf numFmtId="1" fontId="4" fillId="0" borderId="0" xfId="0" applyNumberFormat="1" applyFont="1" applyFill="1" applyBorder="1"/>
    <xf numFmtId="172" fontId="2" fillId="0" borderId="0" xfId="0" applyNumberFormat="1" applyFont="1" applyFill="1" applyBorder="1"/>
    <xf numFmtId="3" fontId="6" fillId="0" borderId="0" xfId="0" applyNumberFormat="1" applyFont="1" applyFill="1" applyBorder="1" applyProtection="1"/>
    <xf numFmtId="174" fontId="2" fillId="0" borderId="3" xfId="0" applyNumberFormat="1" applyFont="1" applyFill="1" applyBorder="1" applyAlignment="1">
      <alignment horizontal="right"/>
    </xf>
    <xf numFmtId="37" fontId="3" fillId="0" borderId="0" xfId="0" applyNumberFormat="1" applyFont="1" applyFill="1" applyBorder="1"/>
    <xf numFmtId="174" fontId="2" fillId="0" borderId="0" xfId="1" applyNumberFormat="1" applyFont="1" applyFill="1" applyBorder="1" applyAlignment="1">
      <alignment horizontal="right"/>
    </xf>
    <xf numFmtId="174" fontId="2" fillId="0" borderId="3" xfId="1" applyNumberFormat="1" applyFont="1" applyFill="1" applyBorder="1" applyAlignment="1">
      <alignment horizontal="right"/>
    </xf>
    <xf numFmtId="37" fontId="17" fillId="0" borderId="0" xfId="0" applyNumberFormat="1" applyFont="1" applyFill="1" applyBorder="1" applyAlignment="1" applyProtection="1">
      <alignment horizontal="right"/>
    </xf>
    <xf numFmtId="37" fontId="2" fillId="0" borderId="0" xfId="0" applyNumberFormat="1" applyFont="1" applyFill="1" applyBorder="1"/>
    <xf numFmtId="37" fontId="2" fillId="0" borderId="0" xfId="0" applyNumberFormat="1" applyFont="1" applyFill="1" applyAlignment="1" applyProtection="1">
      <alignment horizontal="right"/>
    </xf>
    <xf numFmtId="1" fontId="4" fillId="0" borderId="0" xfId="0" applyNumberFormat="1" applyFont="1" applyFill="1"/>
    <xf numFmtId="37" fontId="18" fillId="0" borderId="0" xfId="0" applyNumberFormat="1" applyFont="1" applyFill="1" applyProtection="1"/>
    <xf numFmtId="10" fontId="2" fillId="0" borderId="0" xfId="0" applyNumberFormat="1" applyFont="1" applyFill="1" applyProtection="1"/>
    <xf numFmtId="174" fontId="3" fillId="0" borderId="3" xfId="0" applyNumberFormat="1" applyFont="1" applyFill="1" applyBorder="1" applyProtection="1"/>
    <xf numFmtId="169" fontId="2" fillId="0" borderId="0" xfId="1" applyNumberFormat="1" applyFont="1" applyFill="1" applyBorder="1"/>
    <xf numFmtId="169" fontId="2" fillId="0" borderId="1" xfId="1" applyNumberFormat="1" applyFont="1" applyFill="1" applyBorder="1" applyProtection="1"/>
    <xf numFmtId="169" fontId="2" fillId="0" borderId="3" xfId="1" applyNumberFormat="1" applyFont="1" applyFill="1" applyBorder="1"/>
    <xf numFmtId="0" fontId="52" fillId="0" borderId="0" xfId="1" applyNumberFormat="1" applyFont="1" applyAlignment="1">
      <alignment horizontal="center"/>
    </xf>
    <xf numFmtId="169" fontId="52" fillId="0" borderId="0" xfId="1" applyNumberFormat="1" applyFont="1" applyAlignment="1">
      <alignment horizontal="center"/>
    </xf>
    <xf numFmtId="166" fontId="53" fillId="0" borderId="0" xfId="2" applyNumberFormat="1" applyFont="1" applyAlignment="1">
      <alignment horizontal="center"/>
    </xf>
    <xf numFmtId="169" fontId="53" fillId="0" borderId="0" xfId="1" applyNumberFormat="1" applyFont="1" applyAlignment="1">
      <alignment horizontal="center"/>
    </xf>
    <xf numFmtId="10" fontId="2" fillId="0" borderId="0" xfId="0" applyNumberFormat="1" applyFont="1" applyProtection="1"/>
    <xf numFmtId="38" fontId="2" fillId="0" borderId="1" xfId="0" applyNumberFormat="1" applyFont="1" applyBorder="1" applyProtection="1"/>
    <xf numFmtId="0" fontId="2" fillId="0" borderId="0" xfId="0" applyFont="1" applyBorder="1" applyAlignment="1">
      <alignment horizontal="center"/>
    </xf>
    <xf numFmtId="164" fontId="3" fillId="0" borderId="0" xfId="0" applyNumberFormat="1" applyFont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5" fontId="2" fillId="0" borderId="0" xfId="1" applyNumberFormat="1" applyFont="1"/>
    <xf numFmtId="176" fontId="2" fillId="0" borderId="0" xfId="1" applyNumberFormat="1" applyFont="1"/>
    <xf numFmtId="169" fontId="2" fillId="0" borderId="4" xfId="1" applyNumberFormat="1" applyFont="1" applyFill="1" applyBorder="1" applyProtection="1"/>
    <xf numFmtId="169" fontId="3" fillId="0" borderId="0" xfId="1" applyNumberFormat="1" applyFont="1" applyFill="1"/>
    <xf numFmtId="169" fontId="22" fillId="0" borderId="0" xfId="1" applyNumberFormat="1" applyFont="1"/>
    <xf numFmtId="169" fontId="2" fillId="0" borderId="24" xfId="1" applyNumberFormat="1" applyFont="1" applyFill="1" applyBorder="1"/>
    <xf numFmtId="169" fontId="2" fillId="0" borderId="24" xfId="1" applyNumberFormat="1" applyFont="1" applyFill="1" applyBorder="1" applyAlignment="1">
      <alignment horizontal="right"/>
    </xf>
    <xf numFmtId="169" fontId="3" fillId="0" borderId="0" xfId="1" applyNumberFormat="1" applyFont="1" applyFill="1" applyAlignment="1">
      <alignment horizontal="right"/>
    </xf>
    <xf numFmtId="169" fontId="3" fillId="0" borderId="0" xfId="1" applyNumberFormat="1" applyFont="1"/>
    <xf numFmtId="43" fontId="2" fillId="0" borderId="0" xfId="0" applyNumberFormat="1" applyFont="1"/>
    <xf numFmtId="169" fontId="3" fillId="0" borderId="23" xfId="1" applyNumberFormat="1" applyFont="1" applyFill="1" applyBorder="1"/>
    <xf numFmtId="169" fontId="3" fillId="0" borderId="0" xfId="1" applyNumberFormat="1" applyFont="1" applyFill="1" applyBorder="1"/>
    <xf numFmtId="3" fontId="54" fillId="0" borderId="0" xfId="0" applyNumberFormat="1" applyFont="1"/>
    <xf numFmtId="169" fontId="3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169" fontId="8" fillId="0" borderId="0" xfId="0" applyNumberFormat="1" applyFont="1" applyAlignment="1" applyProtection="1">
      <alignment horizontal="center"/>
    </xf>
    <xf numFmtId="169" fontId="4" fillId="0" borderId="0" xfId="1" applyNumberFormat="1" applyFont="1" applyBorder="1"/>
    <xf numFmtId="0" fontId="8" fillId="0" borderId="0" xfId="0" applyFont="1" applyFill="1"/>
    <xf numFmtId="174" fontId="16" fillId="0" borderId="0" xfId="0" applyNumberFormat="1" applyFont="1" applyBorder="1"/>
    <xf numFmtId="169" fontId="25" fillId="0" borderId="0" xfId="1" applyNumberFormat="1" applyFont="1" applyFill="1"/>
    <xf numFmtId="174" fontId="2" fillId="0" borderId="0" xfId="0" applyNumberFormat="1" applyFont="1" applyFill="1" applyAlignment="1" applyProtection="1">
      <alignment horizontal="right"/>
    </xf>
    <xf numFmtId="174" fontId="2" fillId="0" borderId="0" xfId="0" applyNumberFormat="1" applyFont="1" applyFill="1" applyAlignment="1"/>
    <xf numFmtId="174" fontId="0" fillId="0" borderId="0" xfId="0" applyNumberFormat="1" applyFont="1"/>
    <xf numFmtId="37" fontId="0" fillId="0" borderId="0" xfId="0" applyNumberFormat="1" applyFont="1" applyProtection="1"/>
    <xf numFmtId="174" fontId="2" fillId="0" borderId="1" xfId="0" applyNumberFormat="1" applyFont="1" applyBorder="1"/>
    <xf numFmtId="3" fontId="2" fillId="0" borderId="0" xfId="0" applyNumberFormat="1" applyFont="1" applyAlignment="1" applyProtection="1">
      <alignment horizontal="right"/>
    </xf>
    <xf numFmtId="3" fontId="2" fillId="0" borderId="0" xfId="0" applyNumberFormat="1" applyFont="1" applyProtection="1"/>
    <xf numFmtId="38" fontId="2" fillId="0" borderId="0" xfId="0" applyNumberFormat="1" applyFont="1" applyFill="1" applyProtection="1"/>
    <xf numFmtId="169" fontId="2" fillId="0" borderId="1" xfId="1" applyNumberFormat="1" applyFont="1" applyFill="1" applyBorder="1" applyAlignment="1" applyProtection="1">
      <alignment horizontal="right"/>
    </xf>
    <xf numFmtId="169" fontId="22" fillId="0" borderId="0" xfId="1" applyNumberFormat="1" applyFont="1" applyFill="1" applyAlignment="1">
      <alignment horizontal="right"/>
    </xf>
    <xf numFmtId="169" fontId="25" fillId="0" borderId="0" xfId="0" applyNumberFormat="1" applyFont="1"/>
    <xf numFmtId="169" fontId="8" fillId="0" borderId="0" xfId="0" applyNumberFormat="1" applyFont="1" applyAlignment="1">
      <alignment horizontal="right"/>
    </xf>
    <xf numFmtId="169" fontId="8" fillId="0" borderId="0" xfId="0" applyNumberFormat="1" applyFont="1" applyFill="1" applyAlignment="1" applyProtection="1">
      <alignment horizontal="center"/>
    </xf>
    <xf numFmtId="169" fontId="25" fillId="0" borderId="0" xfId="0" applyNumberFormat="1" applyFont="1" applyAlignment="1">
      <alignment horizontal="center"/>
    </xf>
    <xf numFmtId="169" fontId="8" fillId="0" borderId="3" xfId="0" applyNumberFormat="1" applyFont="1" applyFill="1" applyBorder="1" applyAlignment="1">
      <alignment horizontal="center"/>
    </xf>
    <xf numFmtId="169" fontId="2" fillId="0" borderId="3" xfId="1" applyNumberFormat="1" applyFont="1" applyFill="1" applyBorder="1" applyAlignment="1">
      <alignment horizontal="right"/>
    </xf>
    <xf numFmtId="37" fontId="22" fillId="0" borderId="0" xfId="0" applyNumberFormat="1" applyFont="1"/>
    <xf numFmtId="169" fontId="2" fillId="0" borderId="3" xfId="1" applyNumberFormat="1" applyFont="1" applyBorder="1" applyProtection="1"/>
    <xf numFmtId="169" fontId="3" fillId="0" borderId="0" xfId="1" applyNumberFormat="1" applyFont="1" applyProtection="1"/>
    <xf numFmtId="0" fontId="0" fillId="0" borderId="0" xfId="0"/>
    <xf numFmtId="166" fontId="8" fillId="0" borderId="5" xfId="2" applyNumberFormat="1" applyFont="1" applyFill="1" applyBorder="1"/>
    <xf numFmtId="166" fontId="8" fillId="0" borderId="5" xfId="0" applyNumberFormat="1" applyFont="1" applyFill="1" applyBorder="1" applyAlignment="1">
      <alignment horizontal="center"/>
    </xf>
    <xf numFmtId="166" fontId="8" fillId="0" borderId="5" xfId="2" applyNumberFormat="1" applyFont="1" applyFill="1" applyBorder="1" applyAlignment="1">
      <alignment horizontal="center"/>
    </xf>
    <xf numFmtId="0" fontId="9" fillId="0" borderId="5" xfId="0" applyFont="1" applyFill="1" applyBorder="1"/>
    <xf numFmtId="166" fontId="8" fillId="0" borderId="5" xfId="2" applyNumberFormat="1" applyFont="1" applyFill="1" applyBorder="1" applyAlignment="1">
      <alignment horizontal="right"/>
    </xf>
    <xf numFmtId="169" fontId="8" fillId="0" borderId="0" xfId="1" applyNumberFormat="1" applyFont="1" applyFill="1" applyAlignment="1" applyProtection="1">
      <alignment horizontal="right"/>
    </xf>
    <xf numFmtId="169" fontId="8" fillId="0" borderId="0" xfId="1" applyNumberFormat="1" applyFont="1" applyFill="1" applyAlignment="1">
      <alignment horizontal="right"/>
    </xf>
    <xf numFmtId="37" fontId="9" fillId="0" borderId="0" xfId="0" applyNumberFormat="1" applyFont="1" applyFill="1"/>
    <xf numFmtId="37" fontId="10" fillId="0" borderId="0" xfId="0" applyNumberFormat="1" applyFont="1" applyFill="1"/>
    <xf numFmtId="0" fontId="8" fillId="0" borderId="0" xfId="0" applyFont="1" applyFill="1" applyAlignment="1">
      <alignment horizontal="center"/>
    </xf>
    <xf numFmtId="37" fontId="8" fillId="0" borderId="0" xfId="0" applyNumberFormat="1" applyFont="1" applyFill="1" applyAlignment="1" applyProtection="1">
      <alignment horizontal="center"/>
    </xf>
    <xf numFmtId="1" fontId="25" fillId="0" borderId="0" xfId="0" applyNumberFormat="1" applyFont="1" applyFill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25" fillId="0" borderId="0" xfId="0" applyNumberFormat="1" applyFont="1" applyFill="1" applyAlignment="1">
      <alignment horizontal="center"/>
    </xf>
    <xf numFmtId="37" fontId="9" fillId="0" borderId="0" xfId="0" applyNumberFormat="1" applyFont="1" applyFill="1" applyAlignment="1" applyProtection="1">
      <alignment horizontal="center"/>
    </xf>
    <xf numFmtId="3" fontId="9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9" fontId="8" fillId="0" borderId="2" xfId="1" applyNumberFormat="1" applyFont="1" applyFill="1" applyBorder="1" applyAlignment="1" applyProtection="1">
      <alignment horizontal="right"/>
    </xf>
    <xf numFmtId="0" fontId="27" fillId="0" borderId="0" xfId="0" applyFont="1" applyFill="1"/>
    <xf numFmtId="169" fontId="27" fillId="0" borderId="0" xfId="1" applyNumberFormat="1" applyFont="1" applyFill="1" applyAlignment="1" applyProtection="1">
      <alignment horizontal="right"/>
    </xf>
    <xf numFmtId="0" fontId="8" fillId="0" borderId="0" xfId="0" applyFont="1" applyFill="1" applyBorder="1"/>
    <xf numFmtId="38" fontId="8" fillId="0" borderId="0" xfId="0" applyNumberFormat="1" applyFont="1" applyFill="1" applyAlignment="1" applyProtection="1">
      <alignment horizontal="right"/>
    </xf>
    <xf numFmtId="37" fontId="8" fillId="0" borderId="0" xfId="0" applyNumberFormat="1" applyFont="1" applyFill="1" applyAlignment="1" applyProtection="1">
      <alignment horizontal="right"/>
    </xf>
    <xf numFmtId="37" fontId="9" fillId="0" borderId="0" xfId="0" applyNumberFormat="1" applyFont="1" applyFill="1" applyAlignment="1" applyProtection="1">
      <alignment horizontal="right"/>
    </xf>
    <xf numFmtId="38" fontId="8" fillId="0" borderId="0" xfId="0" applyNumberFormat="1" applyFont="1" applyFill="1" applyBorder="1" applyAlignment="1" applyProtection="1">
      <alignment horizontal="right"/>
    </xf>
    <xf numFmtId="0" fontId="48" fillId="0" borderId="0" xfId="0" applyFont="1" applyFill="1" applyBorder="1"/>
    <xf numFmtId="166" fontId="48" fillId="0" borderId="0" xfId="2" applyNumberFormat="1" applyFont="1" applyFill="1" applyBorder="1" applyAlignment="1">
      <alignment horizontal="center"/>
    </xf>
    <xf numFmtId="166" fontId="44" fillId="0" borderId="0" xfId="2" applyNumberFormat="1" applyFont="1" applyFill="1" applyBorder="1" applyAlignment="1">
      <alignment horizontal="center"/>
    </xf>
    <xf numFmtId="3" fontId="9" fillId="0" borderId="5" xfId="0" applyNumberFormat="1" applyFont="1" applyFill="1" applyBorder="1"/>
    <xf numFmtId="166" fontId="9" fillId="0" borderId="11" xfId="2" applyNumberFormat="1" applyFont="1" applyFill="1" applyBorder="1" applyAlignment="1">
      <alignment horizontal="right"/>
    </xf>
    <xf numFmtId="166" fontId="9" fillId="4" borderId="11" xfId="0" applyNumberFormat="1" applyFont="1" applyFill="1" applyBorder="1" applyAlignment="1">
      <alignment horizontal="center"/>
    </xf>
    <xf numFmtId="6" fontId="31" fillId="0" borderId="0" xfId="0" applyNumberFormat="1" applyFont="1" applyFill="1"/>
    <xf numFmtId="6" fontId="31" fillId="6" borderId="0" xfId="0" applyNumberFormat="1" applyFont="1" applyFill="1"/>
    <xf numFmtId="8" fontId="31" fillId="6" borderId="0" xfId="0" applyNumberFormat="1" applyFont="1" applyFill="1"/>
    <xf numFmtId="8" fontId="31" fillId="0" borderId="0" xfId="0" applyNumberFormat="1" applyFont="1" applyFill="1"/>
    <xf numFmtId="174" fontId="2" fillId="0" borderId="1" xfId="0" applyNumberFormat="1" applyFont="1" applyFill="1" applyBorder="1" applyAlignment="1" applyProtection="1">
      <alignment horizontal="right"/>
    </xf>
    <xf numFmtId="174" fontId="6" fillId="0" borderId="0" xfId="0" applyNumberFormat="1" applyFont="1" applyFill="1" applyAlignment="1" applyProtection="1"/>
    <xf numFmtId="174" fontId="6" fillId="0" borderId="1" xfId="0" applyNumberFormat="1" applyFont="1" applyFill="1" applyBorder="1" applyAlignment="1" applyProtection="1"/>
    <xf numFmtId="174" fontId="2" fillId="0" borderId="1" xfId="0" applyNumberFormat="1" applyFont="1" applyFill="1" applyBorder="1" applyAlignment="1">
      <alignment horizontal="right"/>
    </xf>
    <xf numFmtId="174" fontId="19" fillId="0" borderId="2" xfId="0" applyNumberFormat="1" applyFont="1" applyFill="1" applyBorder="1" applyAlignment="1" applyProtection="1">
      <alignment horizontal="right"/>
    </xf>
    <xf numFmtId="174" fontId="2" fillId="0" borderId="4" xfId="0" applyNumberFormat="1" applyFont="1" applyFill="1" applyBorder="1" applyAlignment="1" applyProtection="1"/>
    <xf numFmtId="174" fontId="2" fillId="0" borderId="0" xfId="0" applyNumberFormat="1" applyFont="1" applyFill="1" applyAlignment="1" applyProtection="1"/>
    <xf numFmtId="0" fontId="0" fillId="0" borderId="0" xfId="0" applyFill="1"/>
    <xf numFmtId="174" fontId="33" fillId="0" borderId="0" xfId="0" applyNumberFormat="1" applyFont="1" applyFill="1" applyAlignment="1">
      <alignment horizontal="right"/>
    </xf>
    <xf numFmtId="174" fontId="3" fillId="0" borderId="0" xfId="0" applyNumberFormat="1" applyFont="1" applyFill="1" applyAlignment="1">
      <alignment horizontal="right"/>
    </xf>
    <xf numFmtId="38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Protection="1"/>
    <xf numFmtId="10" fontId="6" fillId="0" borderId="0" xfId="0" applyNumberFormat="1" applyFont="1" applyFill="1" applyProtection="1"/>
    <xf numFmtId="174" fontId="20" fillId="0" borderId="0" xfId="0" applyNumberFormat="1" applyFont="1" applyFill="1" applyAlignment="1" applyProtection="1">
      <alignment horizontal="right"/>
    </xf>
    <xf numFmtId="174" fontId="20" fillId="0" borderId="1" xfId="0" applyNumberFormat="1" applyFont="1" applyFill="1" applyBorder="1" applyAlignment="1" applyProtection="1">
      <alignment horizontal="right"/>
    </xf>
    <xf numFmtId="174" fontId="1" fillId="0" borderId="0" xfId="0" applyNumberFormat="1" applyFont="1" applyFill="1" applyProtection="1"/>
    <xf numFmtId="174" fontId="1" fillId="0" borderId="3" xfId="0" applyNumberFormat="1" applyFont="1" applyFill="1" applyBorder="1" applyProtection="1"/>
    <xf numFmtId="174" fontId="42" fillId="0" borderId="0" xfId="0" applyNumberFormat="1" applyFont="1" applyFill="1"/>
    <xf numFmtId="174" fontId="7" fillId="0" borderId="0" xfId="0" applyNumberFormat="1" applyFont="1" applyFill="1" applyAlignment="1">
      <alignment horizontal="right"/>
    </xf>
    <xf numFmtId="174" fontId="26" fillId="0" borderId="0" xfId="0" applyNumberFormat="1" applyFont="1" applyFill="1"/>
    <xf numFmtId="174" fontId="16" fillId="0" borderId="0" xfId="0" applyNumberFormat="1" applyFont="1" applyFill="1" applyAlignment="1">
      <alignment horizontal="right"/>
    </xf>
    <xf numFmtId="174" fontId="16" fillId="0" borderId="0" xfId="0" applyNumberFormat="1" applyFont="1" applyFill="1" applyProtection="1"/>
    <xf numFmtId="174" fontId="9" fillId="7" borderId="0" xfId="1" applyNumberFormat="1" applyFont="1" applyFill="1" applyBorder="1" applyAlignment="1">
      <alignment horizontal="right"/>
    </xf>
    <xf numFmtId="169" fontId="13" fillId="0" borderId="0" xfId="1" applyNumberFormat="1" applyFont="1" applyFill="1" applyAlignment="1" applyProtection="1">
      <alignment horizontal="center"/>
    </xf>
    <xf numFmtId="169" fontId="10" fillId="0" borderId="0" xfId="1" applyNumberFormat="1" applyFont="1" applyFill="1" applyAlignment="1">
      <alignment horizontal="center"/>
    </xf>
    <xf numFmtId="169" fontId="16" fillId="0" borderId="0" xfId="1" applyNumberFormat="1" applyFont="1" applyFill="1"/>
    <xf numFmtId="169" fontId="9" fillId="0" borderId="0" xfId="1" applyNumberFormat="1" applyFont="1" applyFill="1" applyAlignment="1"/>
    <xf numFmtId="169" fontId="13" fillId="0" borderId="0" xfId="1" applyNumberFormat="1" applyFont="1" applyFill="1" applyBorder="1" applyAlignment="1" applyProtection="1">
      <alignment horizontal="center"/>
    </xf>
    <xf numFmtId="169" fontId="12" fillId="0" borderId="0" xfId="1" applyNumberFormat="1" applyFont="1" applyFill="1" applyAlignment="1" applyProtection="1"/>
    <xf numFmtId="1" fontId="4" fillId="0" borderId="0" xfId="0" applyNumberFormat="1" applyFont="1" applyFill="1" applyProtection="1"/>
    <xf numFmtId="169" fontId="4" fillId="0" borderId="0" xfId="1" applyNumberFormat="1" applyFont="1" applyFill="1" applyBorder="1" applyProtection="1"/>
    <xf numFmtId="169" fontId="22" fillId="0" borderId="0" xfId="1" applyNumberFormat="1" applyFont="1" applyFill="1"/>
    <xf numFmtId="165" fontId="2" fillId="0" borderId="0" xfId="0" applyNumberFormat="1" applyFont="1" applyFill="1" applyProtection="1"/>
    <xf numFmtId="169" fontId="3" fillId="0" borderId="0" xfId="1" applyNumberFormat="1" applyFont="1" applyFill="1" applyBorder="1" applyProtection="1"/>
    <xf numFmtId="169" fontId="19" fillId="0" borderId="0" xfId="1" applyNumberFormat="1" applyFont="1" applyFill="1" applyAlignment="1" applyProtection="1"/>
    <xf numFmtId="169" fontId="3" fillId="0" borderId="12" xfId="1" applyNumberFormat="1" applyFont="1" applyFill="1" applyBorder="1" applyProtection="1"/>
    <xf numFmtId="169" fontId="9" fillId="0" borderId="0" xfId="1" applyNumberFormat="1" applyFont="1"/>
    <xf numFmtId="169" fontId="9" fillId="0" borderId="3" xfId="1" applyNumberFormat="1" applyFont="1" applyBorder="1"/>
    <xf numFmtId="169" fontId="3" fillId="0" borderId="0" xfId="1" applyNumberFormat="1" applyFont="1" applyFill="1" applyProtection="1"/>
    <xf numFmtId="37" fontId="2" fillId="0" borderId="0" xfId="0" applyNumberFormat="1" applyFont="1" applyFill="1" applyBorder="1" applyProtection="1"/>
    <xf numFmtId="174" fontId="3" fillId="0" borderId="0" xfId="0" applyNumberFormat="1" applyFont="1" applyFill="1" applyBorder="1" applyAlignment="1" applyProtection="1">
      <alignment horizontal="right"/>
    </xf>
    <xf numFmtId="1" fontId="3" fillId="0" borderId="0" xfId="0" applyNumberFormat="1" applyFont="1" applyFill="1" applyBorder="1" applyAlignment="1" applyProtection="1">
      <alignment horizontal="right"/>
    </xf>
    <xf numFmtId="174" fontId="3" fillId="0" borderId="0" xfId="0" applyNumberFormat="1" applyFont="1" applyFill="1" applyBorder="1" applyProtection="1"/>
    <xf numFmtId="169" fontId="9" fillId="0" borderId="0" xfId="1" applyNumberFormat="1" applyFont="1" applyFill="1" applyBorder="1"/>
    <xf numFmtId="174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9" fontId="2" fillId="0" borderId="3" xfId="1" applyNumberFormat="1" applyFont="1" applyFill="1" applyBorder="1" applyProtection="1"/>
    <xf numFmtId="1" fontId="4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Alignment="1">
      <alignment horizontal="right"/>
    </xf>
    <xf numFmtId="1" fontId="4" fillId="0" borderId="0" xfId="0" applyNumberFormat="1" applyFont="1" applyFill="1" applyBorder="1"/>
    <xf numFmtId="174" fontId="2" fillId="0" borderId="3" xfId="0" applyNumberFormat="1" applyFont="1" applyFill="1" applyBorder="1" applyAlignment="1">
      <alignment horizontal="right"/>
    </xf>
    <xf numFmtId="174" fontId="2" fillId="0" borderId="0" xfId="1" applyNumberFormat="1" applyFont="1" applyFill="1" applyBorder="1" applyAlignment="1">
      <alignment horizontal="right"/>
    </xf>
    <xf numFmtId="174" fontId="2" fillId="0" borderId="3" xfId="1" applyNumberFormat="1" applyFont="1" applyFill="1" applyBorder="1" applyAlignment="1">
      <alignment horizontal="right"/>
    </xf>
    <xf numFmtId="1" fontId="2" fillId="0" borderId="0" xfId="0" applyNumberFormat="1" applyFont="1" applyFill="1" applyBorder="1"/>
    <xf numFmtId="1" fontId="4" fillId="0" borderId="0" xfId="0" applyNumberFormat="1" applyFont="1" applyFill="1" applyBorder="1" applyProtection="1"/>
    <xf numFmtId="174" fontId="2" fillId="0" borderId="3" xfId="0" applyNumberFormat="1" applyFont="1" applyFill="1" applyBorder="1"/>
    <xf numFmtId="169" fontId="3" fillId="0" borderId="0" xfId="1" applyNumberFormat="1" applyFont="1" applyFill="1" applyProtection="1"/>
    <xf numFmtId="169" fontId="3" fillId="0" borderId="0" xfId="1" applyNumberFormat="1" applyFont="1" applyFill="1" applyAlignment="1" applyProtection="1">
      <alignment horizontal="right"/>
    </xf>
    <xf numFmtId="174" fontId="3" fillId="0" borderId="0" xfId="0" applyNumberFormat="1" applyFont="1" applyFill="1" applyBorder="1" applyAlignment="1" applyProtection="1">
      <alignment horizontal="right"/>
    </xf>
    <xf numFmtId="174" fontId="3" fillId="0" borderId="0" xfId="0" applyNumberFormat="1" applyFont="1" applyFill="1" applyBorder="1" applyProtection="1"/>
    <xf numFmtId="169" fontId="2" fillId="0" borderId="0" xfId="1" applyNumberFormat="1" applyFont="1" applyFill="1"/>
    <xf numFmtId="169" fontId="2" fillId="0" borderId="0" xfId="1" applyNumberFormat="1" applyFont="1" applyFill="1" applyAlignment="1">
      <alignment horizontal="right"/>
    </xf>
    <xf numFmtId="169" fontId="3" fillId="0" borderId="0" xfId="1" applyNumberFormat="1" applyFont="1" applyFill="1" applyBorder="1" applyProtection="1"/>
    <xf numFmtId="169" fontId="4" fillId="0" borderId="0" xfId="1" applyNumberFormat="1" applyFont="1" applyFill="1"/>
    <xf numFmtId="169" fontId="4" fillId="0" borderId="0" xfId="1" applyNumberFormat="1" applyFont="1" applyFill="1" applyProtection="1"/>
    <xf numFmtId="0" fontId="2" fillId="0" borderId="0" xfId="0" applyFont="1" applyFill="1"/>
    <xf numFmtId="169" fontId="3" fillId="0" borderId="20" xfId="1" applyNumberFormat="1" applyFont="1" applyFill="1" applyBorder="1" applyProtection="1"/>
    <xf numFmtId="174" fontId="2" fillId="0" borderId="0" xfId="0" applyNumberFormat="1" applyFont="1" applyFill="1" applyBorder="1" applyAlignment="1">
      <alignment horizontal="right"/>
    </xf>
    <xf numFmtId="169" fontId="4" fillId="0" borderId="0" xfId="1" applyNumberFormat="1" applyFont="1" applyFill="1" applyAlignment="1">
      <alignment horizontal="right"/>
    </xf>
    <xf numFmtId="169" fontId="2" fillId="0" borderId="0" xfId="1" applyNumberFormat="1" applyFont="1" applyFill="1" applyProtection="1"/>
    <xf numFmtId="169" fontId="2" fillId="0" borderId="3" xfId="1" applyNumberFormat="1" applyFont="1" applyFill="1" applyBorder="1" applyProtection="1"/>
    <xf numFmtId="37" fontId="2" fillId="0" borderId="0" xfId="0" applyNumberFormat="1" applyFont="1" applyFill="1" applyAlignment="1">
      <alignment horizontal="right"/>
    </xf>
    <xf numFmtId="174" fontId="2" fillId="0" borderId="0" xfId="1" applyNumberFormat="1" applyFont="1" applyFill="1" applyBorder="1" applyAlignment="1">
      <alignment horizontal="right"/>
    </xf>
    <xf numFmtId="174" fontId="2" fillId="0" borderId="3" xfId="1" applyNumberFormat="1" applyFont="1" applyFill="1" applyBorder="1" applyAlignment="1">
      <alignment horizontal="right"/>
    </xf>
    <xf numFmtId="174" fontId="2" fillId="0" borderId="3" xfId="0" applyNumberFormat="1" applyFont="1" applyFill="1" applyBorder="1" applyAlignment="1" applyProtection="1">
      <alignment horizontal="right"/>
    </xf>
    <xf numFmtId="37" fontId="17" fillId="0" borderId="0" xfId="0" applyNumberFormat="1" applyFont="1" applyFill="1" applyBorder="1" applyAlignment="1" applyProtection="1">
      <alignment horizontal="right"/>
    </xf>
    <xf numFmtId="37" fontId="18" fillId="0" borderId="0" xfId="0" applyNumberFormat="1" applyFont="1" applyFill="1" applyProtection="1"/>
    <xf numFmtId="174" fontId="6" fillId="0" borderId="0" xfId="0" applyNumberFormat="1" applyFont="1" applyFill="1" applyBorder="1" applyAlignment="1" applyProtection="1">
      <alignment horizontal="right"/>
    </xf>
    <xf numFmtId="174" fontId="6" fillId="0" borderId="3" xfId="0" applyNumberFormat="1" applyFont="1" applyFill="1" applyBorder="1" applyAlignment="1" applyProtection="1">
      <alignment horizontal="right"/>
    </xf>
    <xf numFmtId="169" fontId="2" fillId="0" borderId="1" xfId="1" applyNumberFormat="1" applyFont="1" applyFill="1" applyBorder="1" applyProtection="1"/>
    <xf numFmtId="169" fontId="2" fillId="0" borderId="3" xfId="1" applyNumberFormat="1" applyFont="1" applyFill="1" applyBorder="1"/>
    <xf numFmtId="169" fontId="4" fillId="0" borderId="0" xfId="1" applyNumberFormat="1" applyFont="1" applyFill="1" applyBorder="1"/>
    <xf numFmtId="169" fontId="2" fillId="0" borderId="1" xfId="1" applyNumberFormat="1" applyFont="1" applyFill="1" applyBorder="1" applyAlignment="1" applyProtection="1">
      <alignment horizontal="right"/>
    </xf>
    <xf numFmtId="169" fontId="3" fillId="0" borderId="0" xfId="1" applyNumberFormat="1" applyFont="1" applyFill="1" applyProtection="1"/>
    <xf numFmtId="169" fontId="2" fillId="0" borderId="0" xfId="1" applyNumberFormat="1" applyFont="1"/>
    <xf numFmtId="0" fontId="0" fillId="0" borderId="0" xfId="0"/>
    <xf numFmtId="0" fontId="2" fillId="0" borderId="0" xfId="0" applyFont="1"/>
    <xf numFmtId="0" fontId="1" fillId="0" borderId="0" xfId="0" applyFont="1"/>
    <xf numFmtId="0" fontId="9" fillId="0" borderId="0" xfId="0" applyFont="1"/>
    <xf numFmtId="169" fontId="9" fillId="0" borderId="3" xfId="1" applyNumberFormat="1" applyFont="1" applyFill="1" applyBorder="1" applyProtection="1"/>
    <xf numFmtId="3" fontId="7" fillId="0" borderId="1" xfId="0" applyNumberFormat="1" applyFont="1" applyFill="1" applyBorder="1" applyAlignment="1">
      <alignment horizontal="center"/>
    </xf>
    <xf numFmtId="169" fontId="8" fillId="0" borderId="0" xfId="1" applyNumberFormat="1" applyFont="1" applyFill="1" applyProtection="1"/>
    <xf numFmtId="169" fontId="3" fillId="0" borderId="0" xfId="1" applyNumberFormat="1" applyFont="1" applyFill="1" applyProtection="1"/>
    <xf numFmtId="169" fontId="9" fillId="0" borderId="0" xfId="1" applyNumberFormat="1" applyFont="1" applyFill="1"/>
    <xf numFmtId="169" fontId="9" fillId="0" borderId="3" xfId="1" applyNumberFormat="1" applyFont="1" applyFill="1" applyBorder="1"/>
    <xf numFmtId="169" fontId="9" fillId="0" borderId="0" xfId="1" applyNumberFormat="1" applyFont="1" applyFill="1" applyBorder="1" applyProtection="1"/>
    <xf numFmtId="167" fontId="9" fillId="0" borderId="0" xfId="0" applyNumberFormat="1" applyFont="1"/>
    <xf numFmtId="169" fontId="9" fillId="0" borderId="0" xfId="1" applyNumberFormat="1" applyFont="1" applyFill="1" applyProtection="1"/>
    <xf numFmtId="169" fontId="9" fillId="0" borderId="1" xfId="1" applyNumberFormat="1" applyFont="1" applyFill="1" applyBorder="1" applyProtection="1"/>
    <xf numFmtId="169" fontId="9" fillId="0" borderId="0" xfId="1" applyNumberFormat="1" applyFont="1" applyFill="1" applyBorder="1" applyAlignment="1" applyProtection="1">
      <alignment horizontal="right"/>
    </xf>
    <xf numFmtId="0" fontId="9" fillId="0" borderId="0" xfId="0" applyFont="1" applyFill="1"/>
    <xf numFmtId="169" fontId="9" fillId="0" borderId="0" xfId="1" applyNumberFormat="1" applyFont="1" applyFill="1" applyAlignment="1">
      <alignment horizontal="right"/>
    </xf>
    <xf numFmtId="0" fontId="0" fillId="0" borderId="0" xfId="0" applyFont="1"/>
    <xf numFmtId="169" fontId="9" fillId="0" borderId="3" xfId="1" applyNumberFormat="1" applyFont="1" applyFill="1" applyBorder="1" applyAlignment="1" applyProtection="1">
      <alignment horizontal="right"/>
    </xf>
    <xf numFmtId="38" fontId="9" fillId="0" borderId="0" xfId="0" applyNumberFormat="1" applyFont="1" applyFill="1" applyAlignment="1">
      <alignment horizontal="right"/>
    </xf>
    <xf numFmtId="37" fontId="7" fillId="0" borderId="1" xfId="0" applyNumberFormat="1" applyFont="1" applyFill="1" applyBorder="1" applyAlignment="1">
      <alignment horizontal="center"/>
    </xf>
    <xf numFmtId="174" fontId="9" fillId="0" borderId="0" xfId="0" applyNumberFormat="1" applyFont="1" applyFill="1"/>
    <xf numFmtId="166" fontId="42" fillId="0" borderId="0" xfId="2" applyNumberFormat="1" applyFont="1" applyAlignment="1">
      <alignment horizontal="center"/>
    </xf>
    <xf numFmtId="166" fontId="42" fillId="0" borderId="3" xfId="2" applyNumberFormat="1" applyFont="1" applyBorder="1" applyAlignment="1">
      <alignment horizontal="center"/>
    </xf>
    <xf numFmtId="166" fontId="1" fillId="0" borderId="0" xfId="2" applyNumberFormat="1" applyFont="1" applyFill="1" applyAlignment="1">
      <alignment horizontal="center"/>
    </xf>
    <xf numFmtId="169" fontId="2" fillId="0" borderId="0" xfId="1" applyNumberFormat="1" applyFont="1" applyFill="1"/>
    <xf numFmtId="43" fontId="0" fillId="0" borderId="0" xfId="1" applyFont="1"/>
    <xf numFmtId="169" fontId="3" fillId="0" borderId="2" xfId="1" applyNumberFormat="1" applyFont="1" applyFill="1" applyBorder="1" applyProtection="1"/>
    <xf numFmtId="169" fontId="3" fillId="0" borderId="0" xfId="1" applyNumberFormat="1" applyFont="1" applyFill="1" applyBorder="1" applyProtection="1"/>
    <xf numFmtId="0" fontId="2" fillId="0" borderId="0" xfId="0" applyFont="1" applyFill="1"/>
    <xf numFmtId="169" fontId="9" fillId="0" borderId="0" xfId="1" applyNumberFormat="1" applyFont="1" applyFill="1" applyAlignment="1" applyProtection="1">
      <alignment horizontal="right"/>
    </xf>
    <xf numFmtId="169" fontId="9" fillId="0" borderId="1" xfId="1" applyNumberFormat="1" applyFont="1" applyFill="1" applyBorder="1" applyAlignment="1" applyProtection="1">
      <alignment horizontal="right"/>
    </xf>
    <xf numFmtId="169" fontId="8" fillId="0" borderId="0" xfId="1" applyNumberFormat="1" applyFont="1" applyFill="1" applyBorder="1" applyAlignment="1" applyProtection="1">
      <alignment horizontal="right"/>
    </xf>
    <xf numFmtId="165" fontId="2" fillId="0" borderId="0" xfId="0" applyNumberFormat="1" applyFont="1"/>
    <xf numFmtId="169" fontId="2" fillId="0" borderId="0" xfId="1" applyNumberFormat="1" applyFont="1" applyFill="1" applyProtection="1"/>
    <xf numFmtId="169" fontId="2" fillId="0" borderId="0" xfId="1" applyNumberFormat="1" applyFont="1" applyFill="1" applyBorder="1" applyProtection="1"/>
    <xf numFmtId="169" fontId="2" fillId="0" borderId="3" xfId="1" applyNumberFormat="1" applyFont="1" applyFill="1" applyBorder="1" applyProtection="1"/>
    <xf numFmtId="169" fontId="2" fillId="0" borderId="0" xfId="1" applyNumberFormat="1" applyFont="1" applyFill="1" applyBorder="1"/>
    <xf numFmtId="169" fontId="2" fillId="0" borderId="1" xfId="1" applyNumberFormat="1" applyFont="1" applyFill="1" applyBorder="1" applyProtection="1"/>
    <xf numFmtId="169" fontId="2" fillId="0" borderId="3" xfId="1" applyNumberFormat="1" applyFont="1" applyFill="1" applyBorder="1"/>
    <xf numFmtId="169" fontId="2" fillId="0" borderId="24" xfId="1" applyNumberFormat="1" applyFont="1" applyFill="1" applyBorder="1" applyProtection="1"/>
    <xf numFmtId="169" fontId="3" fillId="0" borderId="3" xfId="1" applyNumberFormat="1" applyFont="1" applyFill="1" applyBorder="1" applyProtection="1"/>
    <xf numFmtId="169" fontId="3" fillId="0" borderId="0" xfId="1" applyNumberFormat="1" applyFont="1" applyFill="1"/>
    <xf numFmtId="169" fontId="3" fillId="0" borderId="24" xfId="1" applyNumberFormat="1" applyFont="1" applyFill="1" applyBorder="1" applyAlignment="1">
      <alignment horizontal="right"/>
    </xf>
    <xf numFmtId="169" fontId="3" fillId="0" borderId="23" xfId="1" applyNumberFormat="1" applyFont="1" applyFill="1" applyBorder="1"/>
    <xf numFmtId="169" fontId="2" fillId="0" borderId="0" xfId="1" applyNumberFormat="1" applyFont="1" applyBorder="1"/>
    <xf numFmtId="169" fontId="8" fillId="0" borderId="0" xfId="1" applyNumberFormat="1" applyFont="1" applyFill="1" applyAlignment="1" applyProtection="1">
      <alignment horizontal="right"/>
    </xf>
    <xf numFmtId="37" fontId="8" fillId="0" borderId="1" xfId="0" applyNumberFormat="1" applyFont="1" applyFill="1" applyBorder="1" applyAlignment="1">
      <alignment horizontal="center"/>
    </xf>
    <xf numFmtId="169" fontId="8" fillId="0" borderId="2" xfId="1" applyNumberFormat="1" applyFont="1" applyFill="1" applyBorder="1" applyAlignment="1" applyProtection="1">
      <alignment horizontal="right"/>
    </xf>
    <xf numFmtId="169" fontId="27" fillId="0" borderId="0" xfId="1" applyNumberFormat="1" applyFont="1" applyFill="1" applyAlignment="1" applyProtection="1">
      <alignment horizontal="right"/>
    </xf>
    <xf numFmtId="38" fontId="8" fillId="0" borderId="0" xfId="0" applyNumberFormat="1" applyFont="1" applyFill="1" applyAlignment="1" applyProtection="1">
      <alignment horizontal="right"/>
    </xf>
    <xf numFmtId="14" fontId="0" fillId="0" borderId="3" xfId="0" applyNumberFormat="1" applyBorder="1"/>
    <xf numFmtId="44" fontId="0" fillId="0" borderId="3" xfId="2" applyFont="1" applyBorder="1"/>
    <xf numFmtId="43" fontId="0" fillId="0" borderId="3" xfId="1" applyFont="1" applyBorder="1"/>
    <xf numFmtId="14" fontId="0" fillId="0" borderId="9" xfId="0" applyNumberFormat="1" applyBorder="1"/>
    <xf numFmtId="44" fontId="0" fillId="0" borderId="9" xfId="2" applyFont="1" applyBorder="1"/>
    <xf numFmtId="43" fontId="0" fillId="0" borderId="9" xfId="1" applyFont="1" applyBorder="1"/>
    <xf numFmtId="10" fontId="0" fillId="0" borderId="0" xfId="3" applyNumberFormat="1" applyFont="1"/>
    <xf numFmtId="43" fontId="9" fillId="0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1" fillId="0" borderId="0" xfId="2" applyNumberFormat="1" applyFont="1" applyFill="1" applyProtection="1"/>
    <xf numFmtId="166" fontId="1" fillId="0" borderId="0" xfId="2" applyNumberFormat="1" applyFont="1"/>
    <xf numFmtId="166" fontId="1" fillId="0" borderId="0" xfId="2" applyNumberFormat="1" applyFont="1" applyAlignment="1" applyProtection="1">
      <alignment horizontal="right"/>
    </xf>
    <xf numFmtId="43" fontId="9" fillId="0" borderId="0" xfId="1" applyFont="1"/>
    <xf numFmtId="169" fontId="8" fillId="0" borderId="0" xfId="0" applyNumberFormat="1" applyFont="1" applyFill="1" applyBorder="1" applyAlignment="1" applyProtection="1">
      <alignment horizontal="right"/>
    </xf>
    <xf numFmtId="169" fontId="9" fillId="0" borderId="3" xfId="0" applyNumberFormat="1" applyFont="1" applyFill="1" applyBorder="1"/>
    <xf numFmtId="169" fontId="8" fillId="0" borderId="0" xfId="0" applyNumberFormat="1" applyFont="1" applyFill="1"/>
    <xf numFmtId="169" fontId="9" fillId="0" borderId="4" xfId="0" applyNumberFormat="1" applyFont="1" applyFill="1" applyBorder="1"/>
    <xf numFmtId="37" fontId="1" fillId="0" borderId="0" xfId="0" applyNumberFormat="1" applyFont="1"/>
    <xf numFmtId="37" fontId="1" fillId="0" borderId="0" xfId="0" applyNumberFormat="1" applyFont="1" applyFill="1"/>
    <xf numFmtId="3" fontId="20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0" xfId="0" applyNumberFormat="1" applyFont="1" applyBorder="1" applyProtection="1"/>
    <xf numFmtId="3" fontId="36" fillId="0" borderId="0" xfId="0" applyNumberFormat="1" applyFont="1" applyFill="1" applyBorder="1" applyAlignment="1" applyProtection="1">
      <alignment horizontal="center"/>
    </xf>
    <xf numFmtId="174" fontId="1" fillId="0" borderId="0" xfId="0" applyNumberFormat="1" applyFont="1"/>
    <xf numFmtId="174" fontId="1" fillId="0" borderId="0" xfId="0" applyNumberFormat="1" applyFont="1" applyAlignment="1">
      <alignment horizontal="right"/>
    </xf>
    <xf numFmtId="174" fontId="1" fillId="0" borderId="0" xfId="0" applyNumberFormat="1" applyFont="1" applyFill="1" applyBorder="1"/>
    <xf numFmtId="174" fontId="1" fillId="0" borderId="0" xfId="0" applyNumberFormat="1" applyFont="1" applyFill="1"/>
    <xf numFmtId="3" fontId="1" fillId="0" borderId="0" xfId="0" applyNumberFormat="1" applyFont="1" applyBorder="1"/>
    <xf numFmtId="174" fontId="1" fillId="0" borderId="0" xfId="0" applyNumberFormat="1" applyFont="1" applyFill="1" applyAlignment="1">
      <alignment horizontal="right"/>
    </xf>
    <xf numFmtId="174" fontId="1" fillId="0" borderId="3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174" fontId="1" fillId="0" borderId="3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/>
    <xf numFmtId="3" fontId="7" fillId="0" borderId="0" xfId="0" applyNumberFormat="1" applyFont="1" applyFill="1" applyBorder="1" applyProtection="1"/>
    <xf numFmtId="0" fontId="56" fillId="0" borderId="0" xfId="0" applyFont="1"/>
    <xf numFmtId="174" fontId="1" fillId="0" borderId="0" xfId="0" applyNumberFormat="1" applyFont="1" applyFill="1" applyAlignment="1" applyProtection="1">
      <alignment horizontal="right"/>
    </xf>
    <xf numFmtId="37" fontId="7" fillId="0" borderId="0" xfId="0" applyNumberFormat="1" applyFont="1" applyBorder="1" applyProtection="1"/>
    <xf numFmtId="37" fontId="1" fillId="0" borderId="0" xfId="0" applyNumberFormat="1" applyFont="1" applyFill="1" applyBorder="1" applyProtection="1"/>
    <xf numFmtId="0" fontId="7" fillId="0" borderId="0" xfId="0" applyFont="1" applyBorder="1"/>
    <xf numFmtId="3" fontId="7" fillId="0" borderId="0" xfId="0" applyNumberFormat="1" applyFont="1" applyBorder="1"/>
    <xf numFmtId="0" fontId="20" fillId="0" borderId="0" xfId="0" applyFont="1" applyProtection="1"/>
    <xf numFmtId="3" fontId="20" fillId="0" borderId="0" xfId="0" applyNumberFormat="1" applyFont="1" applyBorder="1" applyAlignment="1" applyProtection="1">
      <alignment horizontal="right"/>
    </xf>
    <xf numFmtId="0" fontId="57" fillId="0" borderId="0" xfId="0" applyFont="1" applyBorder="1"/>
    <xf numFmtId="3" fontId="1" fillId="0" borderId="0" xfId="0" applyNumberFormat="1" applyFont="1"/>
    <xf numFmtId="0" fontId="36" fillId="0" borderId="0" xfId="0" applyFont="1" applyProtection="1"/>
    <xf numFmtId="3" fontId="36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Protection="1"/>
    <xf numFmtId="37" fontId="7" fillId="0" borderId="0" xfId="0" applyNumberFormat="1" applyFont="1" applyFill="1" applyBorder="1" applyProtection="1"/>
    <xf numFmtId="3" fontId="1" fillId="0" borderId="0" xfId="0" applyNumberFormat="1" applyFont="1" applyFill="1" applyBorder="1"/>
    <xf numFmtId="174" fontId="1" fillId="0" borderId="3" xfId="0" applyNumberFormat="1" applyFont="1" applyFill="1" applyBorder="1" applyAlignment="1" applyProtection="1">
      <alignment horizontal="right"/>
    </xf>
    <xf numFmtId="37" fontId="1" fillId="0" borderId="0" xfId="0" applyNumberFormat="1" applyFont="1" applyBorder="1"/>
    <xf numFmtId="174" fontId="1" fillId="0" borderId="1" xfId="0" applyNumberFormat="1" applyFont="1" applyFill="1" applyBorder="1" applyAlignment="1" applyProtection="1">
      <alignment horizontal="right"/>
    </xf>
    <xf numFmtId="3" fontId="1" fillId="0" borderId="0" xfId="0" applyNumberFormat="1" applyFont="1" applyBorder="1" applyProtection="1"/>
    <xf numFmtId="174" fontId="16" fillId="0" borderId="0" xfId="0" applyNumberFormat="1" applyFont="1" applyAlignment="1">
      <alignment horizontal="center"/>
    </xf>
    <xf numFmtId="1" fontId="16" fillId="0" borderId="0" xfId="0" applyNumberFormat="1" applyFont="1" applyBorder="1" applyAlignment="1">
      <alignment horizontal="center"/>
    </xf>
    <xf numFmtId="38" fontId="1" fillId="0" borderId="0" xfId="0" applyNumberFormat="1" applyFont="1" applyBorder="1" applyProtection="1"/>
    <xf numFmtId="174" fontId="1" fillId="0" borderId="0" xfId="0" applyNumberFormat="1" applyFont="1" applyBorder="1" applyProtection="1"/>
    <xf numFmtId="174" fontId="1" fillId="0" borderId="0" xfId="0" applyNumberFormat="1" applyFont="1" applyFill="1" applyBorder="1" applyAlignment="1" applyProtection="1">
      <alignment horizontal="right"/>
    </xf>
    <xf numFmtId="174" fontId="1" fillId="0" borderId="0" xfId="0" applyNumberFormat="1" applyFont="1" applyFill="1" applyBorder="1" applyProtection="1"/>
    <xf numFmtId="174" fontId="1" fillId="0" borderId="3" xfId="0" applyNumberFormat="1" applyFont="1" applyBorder="1" applyProtection="1"/>
    <xf numFmtId="174" fontId="1" fillId="0" borderId="3" xfId="0" applyNumberFormat="1" applyFont="1" applyBorder="1" applyAlignment="1" applyProtection="1">
      <alignment horizontal="right"/>
    </xf>
    <xf numFmtId="3" fontId="7" fillId="0" borderId="0" xfId="0" applyNumberFormat="1" applyFont="1" applyBorder="1" applyProtection="1"/>
    <xf numFmtId="174" fontId="1" fillId="0" borderId="0" xfId="0" applyNumberFormat="1" applyFont="1" applyBorder="1" applyAlignment="1" applyProtection="1">
      <alignment horizontal="right"/>
    </xf>
    <xf numFmtId="174" fontId="1" fillId="0" borderId="0" xfId="0" applyNumberFormat="1" applyFont="1" applyProtection="1"/>
    <xf numFmtId="174" fontId="43" fillId="0" borderId="4" xfId="0" applyNumberFormat="1" applyFont="1" applyFill="1" applyBorder="1" applyProtection="1"/>
    <xf numFmtId="174" fontId="7" fillId="0" borderId="4" xfId="0" applyNumberFormat="1" applyFont="1" applyFill="1" applyBorder="1" applyProtection="1"/>
    <xf numFmtId="174" fontId="7" fillId="0" borderId="4" xfId="0" applyNumberFormat="1" applyFont="1" applyFill="1" applyBorder="1" applyAlignment="1" applyProtection="1">
      <alignment horizontal="right"/>
    </xf>
    <xf numFmtId="169" fontId="7" fillId="0" borderId="0" xfId="1" applyNumberFormat="1" applyFont="1" applyFill="1" applyAlignment="1" applyProtection="1">
      <alignment horizontal="right"/>
    </xf>
    <xf numFmtId="174" fontId="42" fillId="0" borderId="4" xfId="0" applyNumberFormat="1" applyFont="1" applyFill="1" applyBorder="1" applyProtection="1"/>
    <xf numFmtId="174" fontId="1" fillId="0" borderId="4" xfId="0" applyNumberFormat="1" applyFont="1" applyFill="1" applyBorder="1" applyAlignment="1" applyProtection="1">
      <alignment horizontal="right"/>
    </xf>
    <xf numFmtId="174" fontId="7" fillId="0" borderId="2" xfId="0" applyNumberFormat="1" applyFont="1" applyFill="1" applyBorder="1" applyProtection="1"/>
    <xf numFmtId="3" fontId="7" fillId="0" borderId="0" xfId="0" applyNumberFormat="1" applyFont="1" applyFill="1" applyBorder="1" applyAlignment="1" applyProtection="1">
      <alignment horizontal="right"/>
    </xf>
    <xf numFmtId="174" fontId="1" fillId="0" borderId="0" xfId="0" applyNumberFormat="1" applyFont="1" applyAlignment="1" applyProtection="1">
      <alignment horizontal="right"/>
    </xf>
    <xf numFmtId="0" fontId="1" fillId="0" borderId="0" xfId="0" applyFont="1" applyAlignment="1">
      <alignment horizontal="left" wrapText="1"/>
    </xf>
    <xf numFmtId="174" fontId="1" fillId="0" borderId="0" xfId="0" applyNumberFormat="1" applyFont="1" applyAlignment="1">
      <alignment horizontal="left" wrapText="1"/>
    </xf>
    <xf numFmtId="38" fontId="1" fillId="0" borderId="0" xfId="0" applyNumberFormat="1" applyFont="1" applyFill="1" applyBorder="1" applyProtection="1"/>
    <xf numFmtId="177" fontId="5" fillId="0" borderId="0" xfId="0" applyNumberFormat="1" applyFont="1"/>
    <xf numFmtId="177" fontId="1" fillId="0" borderId="0" xfId="0" applyNumberFormat="1" applyFont="1"/>
    <xf numFmtId="177" fontId="0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9" fontId="25" fillId="0" borderId="0" xfId="0" applyNumberFormat="1" applyFont="1" applyFill="1" applyBorder="1" applyAlignment="1">
      <alignment horizontal="center"/>
    </xf>
    <xf numFmtId="167" fontId="9" fillId="0" borderId="0" xfId="0" applyNumberFormat="1" applyFont="1" applyBorder="1"/>
    <xf numFmtId="169" fontId="10" fillId="0" borderId="3" xfId="1" applyNumberFormat="1" applyFont="1" applyBorder="1" applyProtection="1"/>
    <xf numFmtId="169" fontId="2" fillId="0" borderId="0" xfId="1" applyNumberFormat="1" applyFont="1" applyFill="1" applyBorder="1" applyAlignment="1">
      <alignment horizontal="right"/>
    </xf>
    <xf numFmtId="0" fontId="43" fillId="6" borderId="3" xfId="0" applyFont="1" applyFill="1" applyBorder="1"/>
    <xf numFmtId="0" fontId="42" fillId="6" borderId="3" xfId="0" applyFont="1" applyFill="1" applyBorder="1"/>
    <xf numFmtId="0" fontId="43" fillId="0" borderId="0" xfId="0" applyFont="1" applyFill="1" applyBorder="1"/>
    <xf numFmtId="174" fontId="1" fillId="0" borderId="0" xfId="0" applyNumberFormat="1" applyFont="1" applyFill="1" applyBorder="1" applyAlignment="1">
      <alignment horizontal="right"/>
    </xf>
    <xf numFmtId="0" fontId="53" fillId="0" borderId="0" xfId="0" applyFont="1" applyAlignment="1">
      <alignment horizontal="left"/>
    </xf>
    <xf numFmtId="9" fontId="43" fillId="0" borderId="0" xfId="3" applyFont="1" applyAlignment="1">
      <alignment horizontal="center"/>
    </xf>
    <xf numFmtId="44" fontId="1" fillId="0" borderId="0" xfId="0" applyNumberFormat="1" applyFont="1"/>
    <xf numFmtId="44" fontId="1" fillId="0" borderId="32" xfId="0" applyNumberFormat="1" applyFont="1" applyBorder="1"/>
    <xf numFmtId="14" fontId="0" fillId="0" borderId="0" xfId="0" applyNumberFormat="1" applyBorder="1"/>
    <xf numFmtId="44" fontId="0" fillId="0" borderId="0" xfId="2" applyFont="1" applyBorder="1"/>
    <xf numFmtId="43" fontId="0" fillId="0" borderId="0" xfId="1" applyFont="1" applyBorder="1"/>
    <xf numFmtId="43" fontId="1" fillId="0" borderId="0" xfId="1" applyFont="1" applyBorder="1"/>
    <xf numFmtId="166" fontId="9" fillId="0" borderId="0" xfId="0" applyNumberFormat="1" applyFont="1" applyAlignment="1">
      <alignment horizontal="right"/>
    </xf>
    <xf numFmtId="166" fontId="9" fillId="3" borderId="11" xfId="2" applyNumberFormat="1" applyFont="1" applyFill="1" applyBorder="1" applyAlignment="1">
      <alignment horizontal="right"/>
    </xf>
    <xf numFmtId="166" fontId="9" fillId="3" borderId="11" xfId="2" applyNumberFormat="1" applyFont="1" applyFill="1" applyBorder="1" applyAlignment="1">
      <alignment horizontal="right"/>
    </xf>
    <xf numFmtId="166" fontId="9" fillId="3" borderId="11" xfId="2" applyNumberFormat="1" applyFont="1" applyFill="1" applyBorder="1" applyAlignment="1">
      <alignment horizontal="right"/>
    </xf>
    <xf numFmtId="166" fontId="9" fillId="3" borderId="11" xfId="2" applyNumberFormat="1" applyFont="1" applyFill="1" applyBorder="1" applyAlignment="1">
      <alignment horizontal="right"/>
    </xf>
    <xf numFmtId="166" fontId="9" fillId="3" borderId="11" xfId="2" applyNumberFormat="1" applyFont="1" applyFill="1" applyBorder="1" applyAlignment="1">
      <alignment horizontal="right"/>
    </xf>
    <xf numFmtId="169" fontId="9" fillId="0" borderId="0" xfId="1" applyNumberFormat="1" applyFont="1" applyFill="1"/>
    <xf numFmtId="0" fontId="7" fillId="0" borderId="0" xfId="0" applyFont="1" applyAlignment="1">
      <alignment horizontal="center"/>
    </xf>
    <xf numFmtId="169" fontId="0" fillId="0" borderId="0" xfId="1" applyNumberFormat="1" applyFont="1" applyFill="1"/>
    <xf numFmtId="0" fontId="59" fillId="0" borderId="0" xfId="0" applyNumberFormat="1" applyFont="1" applyBorder="1"/>
    <xf numFmtId="166" fontId="60" fillId="0" borderId="0" xfId="2" applyNumberFormat="1" applyFont="1" applyFill="1" applyAlignment="1">
      <alignment horizontal="center"/>
    </xf>
    <xf numFmtId="169" fontId="2" fillId="6" borderId="3" xfId="1" applyNumberFormat="1" applyFont="1" applyFill="1" applyBorder="1"/>
    <xf numFmtId="3" fontId="60" fillId="0" borderId="0" xfId="0" applyNumberFormat="1" applyFont="1" applyFill="1" applyAlignment="1" applyProtection="1">
      <alignment horizontal="center"/>
    </xf>
    <xf numFmtId="166" fontId="42" fillId="6" borderId="0" xfId="2" applyNumberFormat="1" applyFont="1" applyFill="1" applyAlignment="1">
      <alignment horizontal="center"/>
    </xf>
    <xf numFmtId="43" fontId="1" fillId="0" borderId="0" xfId="1" applyFont="1"/>
    <xf numFmtId="43" fontId="1" fillId="0" borderId="0" xfId="0" applyNumberFormat="1" applyFont="1"/>
    <xf numFmtId="174" fontId="1" fillId="6" borderId="0" xfId="0" applyNumberFormat="1" applyFont="1" applyFill="1" applyAlignment="1">
      <alignment horizontal="right"/>
    </xf>
    <xf numFmtId="8" fontId="31" fillId="8" borderId="0" xfId="0" applyNumberFormat="1" applyFont="1" applyFill="1"/>
    <xf numFmtId="0" fontId="47" fillId="0" borderId="0" xfId="0" applyFont="1" applyFill="1"/>
    <xf numFmtId="0" fontId="7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168" fontId="5" fillId="9" borderId="0" xfId="3" applyNumberFormat="1" applyFont="1" applyFill="1" applyAlignment="1">
      <alignment horizontal="center"/>
    </xf>
    <xf numFmtId="166" fontId="5" fillId="9" borderId="0" xfId="2" applyNumberFormat="1" applyFont="1" applyFill="1" applyAlignment="1">
      <alignment horizontal="center"/>
    </xf>
    <xf numFmtId="166" fontId="7" fillId="9" borderId="0" xfId="2" applyNumberFormat="1" applyFont="1" applyFill="1" applyAlignment="1">
      <alignment horizontal="center"/>
    </xf>
    <xf numFmtId="9" fontId="5" fillId="9" borderId="0" xfId="3" applyNumberFormat="1" applyFont="1" applyFill="1" applyAlignment="1">
      <alignment horizontal="center"/>
    </xf>
    <xf numFmtId="9" fontId="5" fillId="9" borderId="0" xfId="3" applyFont="1" applyFill="1" applyAlignment="1">
      <alignment horizontal="center"/>
    </xf>
    <xf numFmtId="169" fontId="7" fillId="9" borderId="0" xfId="1" applyNumberFormat="1" applyFont="1" applyFill="1" applyAlignment="1">
      <alignment horizontal="center"/>
    </xf>
    <xf numFmtId="0" fontId="5" fillId="0" borderId="0" xfId="0" applyFont="1" applyFill="1"/>
    <xf numFmtId="0" fontId="19" fillId="0" borderId="0" xfId="0" applyFont="1" applyFill="1" applyProtection="1"/>
    <xf numFmtId="0" fontId="2" fillId="0" borderId="0" xfId="0" applyFont="1" applyFill="1" applyAlignment="1"/>
    <xf numFmtId="37" fontId="19" fillId="0" borderId="0" xfId="0" applyNumberFormat="1" applyFont="1" applyFill="1" applyProtection="1"/>
    <xf numFmtId="3" fontId="6" fillId="0" borderId="0" xfId="0" applyNumberFormat="1" applyFont="1" applyFill="1" applyProtection="1"/>
    <xf numFmtId="42" fontId="0" fillId="0" borderId="0" xfId="0" applyNumberFormat="1" applyFill="1"/>
    <xf numFmtId="174" fontId="2" fillId="0" borderId="1" xfId="0" applyNumberFormat="1" applyFont="1" applyFill="1" applyBorder="1" applyAlignment="1"/>
    <xf numFmtId="37" fontId="6" fillId="0" borderId="0" xfId="0" applyNumberFormat="1" applyFont="1" applyFill="1" applyProtection="1"/>
    <xf numFmtId="0" fontId="6" fillId="0" borderId="0" xfId="0" applyFont="1" applyFill="1"/>
    <xf numFmtId="10" fontId="6" fillId="0" borderId="0" xfId="0" applyNumberFormat="1" applyFont="1" applyFill="1" applyAlignment="1" applyProtection="1"/>
    <xf numFmtId="0" fontId="6" fillId="0" borderId="0" xfId="0" applyFont="1" applyFill="1" applyAlignment="1" applyProtection="1"/>
    <xf numFmtId="0" fontId="6" fillId="0" borderId="0" xfId="0" applyFont="1" applyFill="1" applyAlignment="1"/>
    <xf numFmtId="0" fontId="7" fillId="0" borderId="0" xfId="0" applyFont="1" applyAlignment="1">
      <alignment horizontal="center"/>
    </xf>
    <xf numFmtId="166" fontId="38" fillId="6" borderId="0" xfId="2" applyNumberFormat="1" applyFont="1" applyFill="1"/>
    <xf numFmtId="44" fontId="15" fillId="6" borderId="0" xfId="2" applyFont="1" applyFill="1"/>
    <xf numFmtId="0" fontId="15" fillId="6" borderId="0" xfId="0" applyFont="1" applyFill="1"/>
    <xf numFmtId="10" fontId="39" fillId="10" borderId="0" xfId="0" applyNumberFormat="1" applyFont="1" applyFill="1" applyAlignment="1">
      <alignment horizontal="center"/>
    </xf>
    <xf numFmtId="10" fontId="9" fillId="0" borderId="0" xfId="3" applyNumberFormat="1" applyFont="1"/>
    <xf numFmtId="178" fontId="2" fillId="0" borderId="0" xfId="0" applyNumberFormat="1" applyFont="1" applyFill="1" applyAlignment="1" applyProtection="1">
      <alignment horizontal="right"/>
    </xf>
    <xf numFmtId="43" fontId="0" fillId="0" borderId="3" xfId="1" applyFont="1" applyFill="1" applyBorder="1"/>
    <xf numFmtId="43" fontId="0" fillId="0" borderId="0" xfId="1" applyFont="1" applyFill="1"/>
    <xf numFmtId="169" fontId="3" fillId="0" borderId="9" xfId="1" applyNumberFormat="1" applyFont="1" applyFill="1" applyBorder="1" applyAlignment="1" applyProtection="1">
      <alignment horizontal="right"/>
    </xf>
    <xf numFmtId="10" fontId="2" fillId="0" borderId="0" xfId="3" applyNumberFormat="1" applyFont="1" applyFill="1" applyBorder="1" applyProtection="1"/>
    <xf numFmtId="43" fontId="2" fillId="0" borderId="0" xfId="1" applyFont="1" applyFill="1" applyBorder="1"/>
    <xf numFmtId="0" fontId="8" fillId="0" borderId="8" xfId="0" applyFont="1" applyBorder="1" applyAlignment="1">
      <alignment horizontal="center" vertical="center"/>
    </xf>
    <xf numFmtId="166" fontId="9" fillId="0" borderId="5" xfId="2" applyNumberFormat="1" applyFont="1" applyFill="1" applyBorder="1"/>
    <xf numFmtId="0" fontId="8" fillId="0" borderId="5" xfId="0" applyFont="1" applyFill="1" applyBorder="1"/>
    <xf numFmtId="166" fontId="8" fillId="0" borderId="6" xfId="2" applyNumberFormat="1" applyFont="1" applyFill="1" applyBorder="1"/>
    <xf numFmtId="166" fontId="8" fillId="0" borderId="5" xfId="2" applyNumberFormat="1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169" fontId="7" fillId="0" borderId="0" xfId="0" applyNumberFormat="1" applyFont="1" applyFill="1" applyAlignment="1">
      <alignment horizontal="center"/>
    </xf>
    <xf numFmtId="174" fontId="9" fillId="0" borderId="0" xfId="0" applyNumberFormat="1" applyFont="1" applyFill="1" applyAlignment="1">
      <alignment horizontal="left" wrapText="1"/>
    </xf>
    <xf numFmtId="174" fontId="9" fillId="0" borderId="0" xfId="0" applyNumberFormat="1" applyFont="1" applyFill="1" applyAlignment="1">
      <alignment horizontal="left"/>
    </xf>
    <xf numFmtId="169" fontId="9" fillId="0" borderId="1" xfId="0" applyNumberFormat="1" applyFont="1" applyFill="1" applyBorder="1" applyProtection="1"/>
    <xf numFmtId="169" fontId="9" fillId="0" borderId="0" xfId="0" applyNumberFormat="1" applyFont="1" applyFill="1" applyAlignment="1">
      <alignment horizontal="center"/>
    </xf>
    <xf numFmtId="169" fontId="9" fillId="0" borderId="0" xfId="0" applyNumberFormat="1" applyFont="1" applyFill="1" applyAlignment="1">
      <alignment horizontal="left"/>
    </xf>
    <xf numFmtId="169" fontId="11" fillId="0" borderId="0" xfId="0" applyNumberFormat="1" applyFont="1" applyFill="1" applyAlignment="1" applyProtection="1">
      <alignment horizontal="center"/>
    </xf>
    <xf numFmtId="169" fontId="8" fillId="0" borderId="0" xfId="0" applyNumberFormat="1" applyFont="1" applyFill="1" applyAlignment="1">
      <alignment horizontal="center"/>
    </xf>
    <xf numFmtId="169" fontId="24" fillId="0" borderId="0" xfId="0" applyNumberFormat="1" applyFont="1" applyFill="1"/>
    <xf numFmtId="169" fontId="10" fillId="0" borderId="0" xfId="1" applyNumberFormat="1" applyFont="1" applyFill="1" applyProtection="1"/>
    <xf numFmtId="169" fontId="0" fillId="0" borderId="0" xfId="1" applyNumberFormat="1" applyFont="1" applyFill="1" applyProtection="1"/>
    <xf numFmtId="37" fontId="0" fillId="0" borderId="0" xfId="0" applyNumberFormat="1" applyFill="1" applyProtection="1"/>
    <xf numFmtId="165" fontId="0" fillId="0" borderId="0" xfId="0" applyNumberFormat="1" applyFill="1"/>
    <xf numFmtId="169" fontId="9" fillId="0" borderId="0" xfId="3" applyNumberFormat="1" applyFont="1" applyFill="1"/>
    <xf numFmtId="169" fontId="8" fillId="0" borderId="0" xfId="0" applyNumberFormat="1" applyFont="1" applyFill="1" applyAlignment="1">
      <alignment horizontal="left"/>
    </xf>
    <xf numFmtId="3" fontId="1" fillId="0" borderId="0" xfId="0" applyNumberFormat="1" applyFont="1" applyFill="1" applyAlignment="1" applyProtection="1">
      <alignment horizontal="center"/>
    </xf>
    <xf numFmtId="174" fontId="43" fillId="0" borderId="0" xfId="0" applyNumberFormat="1" applyFont="1" applyFill="1"/>
    <xf numFmtId="174" fontId="42" fillId="0" borderId="3" xfId="0" applyNumberFormat="1" applyFont="1" applyFill="1" applyBorder="1"/>
    <xf numFmtId="174" fontId="42" fillId="0" borderId="0" xfId="0" applyNumberFormat="1" applyFont="1" applyFill="1" applyAlignment="1" applyProtection="1">
      <alignment horizontal="right"/>
    </xf>
    <xf numFmtId="174" fontId="1" fillId="0" borderId="0" xfId="0" applyNumberFormat="1" applyFont="1" applyFill="1" applyAlignment="1">
      <alignment horizontal="left" wrapText="1"/>
    </xf>
    <xf numFmtId="174" fontId="1" fillId="0" borderId="0" xfId="0" applyNumberFormat="1" applyFont="1" applyBorder="1"/>
    <xf numFmtId="169" fontId="0" fillId="0" borderId="0" xfId="0" applyNumberFormat="1" applyFill="1"/>
    <xf numFmtId="169" fontId="7" fillId="0" borderId="0" xfId="0" applyNumberFormat="1" applyFont="1" applyFill="1"/>
    <xf numFmtId="167" fontId="2" fillId="0" borderId="0" xfId="0" applyNumberFormat="1" applyFont="1"/>
    <xf numFmtId="37" fontId="2" fillId="6" borderId="0" xfId="0" applyNumberFormat="1" applyFont="1" applyFill="1"/>
    <xf numFmtId="167" fontId="2" fillId="0" borderId="0" xfId="0" applyNumberFormat="1" applyFont="1" applyFill="1"/>
    <xf numFmtId="179" fontId="2" fillId="0" borderId="0" xfId="0" applyNumberFormat="1" applyFont="1" applyFill="1"/>
    <xf numFmtId="169" fontId="2" fillId="0" borderId="1" xfId="1" applyNumberFormat="1" applyFont="1" applyFill="1" applyBorder="1"/>
    <xf numFmtId="174" fontId="1" fillId="0" borderId="0" xfId="0" applyNumberFormat="1" applyFont="1" applyBorder="1" applyAlignment="1">
      <alignment horizontal="right"/>
    </xf>
    <xf numFmtId="169" fontId="9" fillId="0" borderId="1" xfId="1" applyNumberFormat="1" applyFont="1" applyFill="1" applyBorder="1" applyAlignment="1">
      <alignment horizontal="right"/>
    </xf>
    <xf numFmtId="169" fontId="2" fillId="6" borderId="0" xfId="1" applyNumberFormat="1" applyFont="1" applyFill="1"/>
    <xf numFmtId="169" fontId="2" fillId="6" borderId="0" xfId="1" applyNumberFormat="1" applyFont="1" applyFill="1" applyBorder="1" applyProtection="1"/>
    <xf numFmtId="169" fontId="2" fillId="6" borderId="0" xfId="1" applyNumberFormat="1" applyFont="1" applyFill="1" applyProtection="1"/>
    <xf numFmtId="169" fontId="7" fillId="6" borderId="1" xfId="0" applyNumberFormat="1" applyFont="1" applyFill="1" applyBorder="1" applyAlignment="1">
      <alignment horizontal="center"/>
    </xf>
    <xf numFmtId="169" fontId="9" fillId="6" borderId="0" xfId="1" applyNumberFormat="1" applyFont="1" applyFill="1"/>
    <xf numFmtId="169" fontId="9" fillId="6" borderId="0" xfId="1" applyNumberFormat="1" applyFont="1" applyFill="1" applyBorder="1"/>
    <xf numFmtId="37" fontId="3" fillId="6" borderId="1" xfId="0" applyNumberFormat="1" applyFont="1" applyFill="1" applyBorder="1" applyAlignment="1">
      <alignment horizontal="center"/>
    </xf>
    <xf numFmtId="174" fontId="6" fillId="6" borderId="3" xfId="0" applyNumberFormat="1" applyFont="1" applyFill="1" applyBorder="1" applyAlignment="1" applyProtection="1">
      <alignment horizontal="right"/>
    </xf>
    <xf numFmtId="174" fontId="2" fillId="6" borderId="0" xfId="1" applyNumberFormat="1" applyFont="1" applyFill="1" applyBorder="1" applyAlignment="1">
      <alignment horizontal="right"/>
    </xf>
    <xf numFmtId="169" fontId="2" fillId="6" borderId="0" xfId="1" applyNumberFormat="1" applyFont="1" applyFill="1" applyAlignment="1">
      <alignment horizontal="right"/>
    </xf>
    <xf numFmtId="169" fontId="2" fillId="6" borderId="0" xfId="1" applyNumberFormat="1" applyFont="1" applyFill="1" applyBorder="1"/>
    <xf numFmtId="169" fontId="2" fillId="6" borderId="1" xfId="1" applyNumberFormat="1" applyFont="1" applyFill="1" applyBorder="1" applyProtection="1"/>
    <xf numFmtId="1" fontId="2" fillId="6" borderId="0" xfId="0" applyNumberFormat="1" applyFont="1" applyFill="1"/>
    <xf numFmtId="174" fontId="6" fillId="6" borderId="0" xfId="0" applyNumberFormat="1" applyFont="1" applyFill="1" applyAlignment="1" applyProtection="1">
      <alignment horizontal="right"/>
    </xf>
    <xf numFmtId="174" fontId="2" fillId="6" borderId="0" xfId="0" applyNumberFormat="1" applyFont="1" applyFill="1" applyAlignment="1">
      <alignment horizontal="right"/>
    </xf>
    <xf numFmtId="174" fontId="2" fillId="6" borderId="3" xfId="0" applyNumberFormat="1" applyFont="1" applyFill="1" applyBorder="1" applyAlignment="1">
      <alignment horizontal="right"/>
    </xf>
    <xf numFmtId="174" fontId="2" fillId="6" borderId="0" xfId="0" applyNumberFormat="1" applyFont="1" applyFill="1" applyBorder="1" applyAlignment="1">
      <alignment horizontal="right"/>
    </xf>
    <xf numFmtId="174" fontId="2" fillId="6" borderId="1" xfId="0" applyNumberFormat="1" applyFont="1" applyFill="1" applyBorder="1" applyAlignment="1">
      <alignment horizontal="right"/>
    </xf>
    <xf numFmtId="37" fontId="7" fillId="6" borderId="1" xfId="0" applyNumberFormat="1" applyFont="1" applyFill="1" applyBorder="1" applyAlignment="1">
      <alignment horizontal="center"/>
    </xf>
    <xf numFmtId="174" fontId="1" fillId="6" borderId="0" xfId="0" applyNumberFormat="1" applyFont="1" applyFill="1"/>
    <xf numFmtId="174" fontId="1" fillId="6" borderId="0" xfId="0" applyNumberFormat="1" applyFont="1" applyFill="1" applyBorder="1" applyAlignment="1">
      <alignment horizontal="right"/>
    </xf>
    <xf numFmtId="174" fontId="1" fillId="6" borderId="0" xfId="0" applyNumberFormat="1" applyFont="1" applyFill="1" applyBorder="1"/>
    <xf numFmtId="174" fontId="1" fillId="6" borderId="3" xfId="0" applyNumberFormat="1" applyFont="1" applyFill="1" applyBorder="1" applyAlignment="1">
      <alignment horizontal="right"/>
    </xf>
    <xf numFmtId="174" fontId="1" fillId="6" borderId="0" xfId="0" applyNumberFormat="1" applyFont="1" applyFill="1" applyProtection="1"/>
    <xf numFmtId="174" fontId="1" fillId="6" borderId="0" xfId="0" applyNumberFormat="1" applyFont="1" applyFill="1" applyAlignment="1" applyProtection="1">
      <alignment horizontal="right"/>
    </xf>
    <xf numFmtId="174" fontId="1" fillId="6" borderId="0" xfId="0" applyNumberFormat="1" applyFont="1" applyFill="1" applyBorder="1" applyAlignment="1" applyProtection="1">
      <alignment horizontal="right"/>
    </xf>
    <xf numFmtId="174" fontId="1" fillId="6" borderId="0" xfId="0" applyNumberFormat="1" applyFont="1" applyFill="1" applyBorder="1" applyProtection="1"/>
    <xf numFmtId="174" fontId="9" fillId="6" borderId="0" xfId="1" applyNumberFormat="1" applyFont="1" applyFill="1" applyBorder="1" applyAlignment="1">
      <alignment horizontal="right"/>
    </xf>
    <xf numFmtId="174" fontId="9" fillId="6" borderId="0" xfId="0" applyNumberFormat="1" applyFont="1" applyFill="1"/>
    <xf numFmtId="174" fontId="9" fillId="6" borderId="0" xfId="0" applyNumberFormat="1" applyFont="1" applyFill="1" applyAlignment="1">
      <alignment horizontal="right"/>
    </xf>
    <xf numFmtId="174" fontId="9" fillId="6" borderId="3" xfId="0" applyNumberFormat="1" applyFont="1" applyFill="1" applyBorder="1" applyAlignment="1">
      <alignment horizontal="right"/>
    </xf>
    <xf numFmtId="37" fontId="8" fillId="6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3" fontId="9" fillId="6" borderId="0" xfId="0" applyNumberFormat="1" applyFont="1" applyFill="1"/>
    <xf numFmtId="37" fontId="2" fillId="0" borderId="3" xfId="0" applyNumberFormat="1" applyFont="1" applyFill="1" applyBorder="1" applyAlignment="1">
      <alignment horizontal="right"/>
    </xf>
    <xf numFmtId="0" fontId="30" fillId="0" borderId="18" xfId="0" applyFont="1" applyBorder="1" applyAlignment="1">
      <alignment horizontal="center"/>
    </xf>
    <xf numFmtId="173" fontId="37" fillId="0" borderId="0" xfId="0" applyNumberFormat="1" applyFont="1" applyBorder="1" applyAlignment="1">
      <alignment horizontal="center"/>
    </xf>
    <xf numFmtId="49" fontId="37" fillId="0" borderId="0" xfId="0" applyNumberFormat="1" applyFont="1" applyAlignment="1">
      <alignment horizontal="center"/>
    </xf>
    <xf numFmtId="49" fontId="37" fillId="0" borderId="0" xfId="0" applyNumberFormat="1" applyFont="1" applyBorder="1" applyAlignment="1">
      <alignment horizontal="center"/>
    </xf>
    <xf numFmtId="0" fontId="45" fillId="0" borderId="0" xfId="0" applyFont="1"/>
    <xf numFmtId="0" fontId="45" fillId="0" borderId="0" xfId="0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38" fontId="3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4" fontId="3" fillId="0" borderId="0" xfId="0" applyNumberFormat="1" applyFont="1" applyAlignment="1" applyProtection="1">
      <alignment horizontal="center"/>
    </xf>
    <xf numFmtId="0" fontId="2" fillId="0" borderId="0" xfId="0" applyFont="1" applyAlignment="1"/>
    <xf numFmtId="164" fontId="3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/>
    <xf numFmtId="169" fontId="3" fillId="0" borderId="3" xfId="0" applyNumberFormat="1" applyFont="1" applyFill="1" applyBorder="1" applyAlignment="1">
      <alignment horizontal="center"/>
    </xf>
    <xf numFmtId="169" fontId="7" fillId="0" borderId="0" xfId="0" applyNumberFormat="1" applyFont="1" applyFill="1" applyAlignment="1">
      <alignment horizontal="center"/>
    </xf>
    <xf numFmtId="169" fontId="5" fillId="0" borderId="0" xfId="0" applyNumberFormat="1" applyFont="1" applyAlignment="1">
      <alignment horizontal="left" wrapText="1"/>
    </xf>
    <xf numFmtId="169" fontId="1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0" borderId="0" xfId="0" applyNumberFormat="1" applyFont="1" applyFill="1" applyAlignment="1">
      <alignment horizontal="center"/>
    </xf>
    <xf numFmtId="37" fontId="18" fillId="0" borderId="0" xfId="0" applyNumberFormat="1" applyFont="1" applyFill="1" applyBorder="1" applyAlignment="1">
      <alignment horizontal="left" wrapText="1"/>
    </xf>
    <xf numFmtId="1" fontId="3" fillId="0" borderId="3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 applyProtection="1">
      <alignment horizontal="center"/>
    </xf>
    <xf numFmtId="37" fontId="18" fillId="0" borderId="0" xfId="0" applyNumberFormat="1" applyFont="1" applyFill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5" fontId="2" fillId="0" borderId="0" xfId="0" applyNumberFormat="1" applyFont="1" applyFill="1" applyAlignment="1">
      <alignment horizontal="left" wrapText="1"/>
    </xf>
    <xf numFmtId="169" fontId="8" fillId="0" borderId="1" xfId="0" applyNumberFormat="1" applyFont="1" applyBorder="1" applyAlignment="1" applyProtection="1">
      <alignment horizontal="center"/>
    </xf>
    <xf numFmtId="169" fontId="9" fillId="0" borderId="1" xfId="0" applyNumberFormat="1" applyFont="1" applyBorder="1" applyAlignment="1">
      <alignment horizontal="center"/>
    </xf>
    <xf numFmtId="169" fontId="8" fillId="0" borderId="0" xfId="0" applyNumberFormat="1" applyFont="1" applyAlignment="1" applyProtection="1">
      <alignment horizontal="center"/>
    </xf>
    <xf numFmtId="169" fontId="9" fillId="0" borderId="0" xfId="0" applyNumberFormat="1" applyFont="1" applyAlignment="1"/>
    <xf numFmtId="169" fontId="8" fillId="0" borderId="1" xfId="0" applyNumberFormat="1" applyFont="1" applyFill="1" applyBorder="1" applyAlignment="1" applyProtection="1">
      <alignment horizontal="center"/>
    </xf>
    <xf numFmtId="169" fontId="8" fillId="0" borderId="0" xfId="0" applyNumberFormat="1" applyFont="1" applyFill="1" applyAlignment="1" applyProtection="1">
      <alignment horizontal="center"/>
    </xf>
    <xf numFmtId="3" fontId="7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64" fontId="7" fillId="0" borderId="0" xfId="0" applyNumberFormat="1" applyFont="1" applyAlignment="1" applyProtection="1">
      <alignment horizontal="center"/>
    </xf>
    <xf numFmtId="174" fontId="9" fillId="0" borderId="0" xfId="0" applyNumberFormat="1" applyFont="1" applyFill="1" applyAlignment="1">
      <alignment horizontal="left" wrapText="1"/>
    </xf>
    <xf numFmtId="174" fontId="9" fillId="0" borderId="0" xfId="0" applyNumberFormat="1" applyFont="1" applyFill="1" applyAlignment="1">
      <alignment wrapText="1"/>
    </xf>
    <xf numFmtId="174" fontId="9" fillId="0" borderId="0" xfId="0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164" fontId="8" fillId="0" borderId="0" xfId="0" applyNumberFormat="1" applyFont="1" applyAlignment="1" applyProtection="1">
      <alignment horizontal="center"/>
    </xf>
    <xf numFmtId="0" fontId="58" fillId="0" borderId="30" xfId="0" applyFont="1" applyFill="1" applyBorder="1" applyAlignment="1">
      <alignment horizontal="left"/>
    </xf>
    <xf numFmtId="0" fontId="58" fillId="0" borderId="31" xfId="0" applyFont="1" applyFill="1" applyBorder="1" applyAlignment="1">
      <alignment horizontal="left"/>
    </xf>
    <xf numFmtId="0" fontId="58" fillId="0" borderId="25" xfId="0" applyFont="1" applyFill="1" applyBorder="1" applyAlignment="1">
      <alignment horizontal="left" vertical="center" wrapText="1"/>
    </xf>
    <xf numFmtId="0" fontId="58" fillId="0" borderId="26" xfId="0" applyFont="1" applyFill="1" applyBorder="1" applyAlignment="1">
      <alignment horizontal="left" vertical="center" wrapText="1"/>
    </xf>
    <xf numFmtId="0" fontId="58" fillId="0" borderId="27" xfId="0" applyFont="1" applyFill="1" applyBorder="1" applyAlignment="1">
      <alignment horizontal="left" vertical="center" wrapText="1"/>
    </xf>
    <xf numFmtId="0" fontId="58" fillId="0" borderId="28" xfId="0" applyFont="1" applyFill="1" applyBorder="1" applyAlignment="1">
      <alignment horizontal="left" vertical="center" wrapText="1"/>
    </xf>
    <xf numFmtId="0" fontId="58" fillId="0" borderId="29" xfId="0" applyFont="1" applyFill="1" applyBorder="1" applyAlignment="1">
      <alignment horizontal="left" vertical="center" wrapText="1"/>
    </xf>
    <xf numFmtId="0" fontId="58" fillId="0" borderId="16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166" fontId="43" fillId="0" borderId="0" xfId="2" applyNumberFormat="1" applyFont="1" applyAlignment="1">
      <alignment horizontal="center"/>
    </xf>
    <xf numFmtId="166" fontId="43" fillId="0" borderId="16" xfId="2" applyNumberFormat="1" applyFont="1" applyBorder="1" applyAlignment="1">
      <alignment horizontal="center"/>
    </xf>
    <xf numFmtId="166" fontId="43" fillId="0" borderId="17" xfId="2" applyNumberFormat="1" applyFont="1" applyBorder="1" applyAlignment="1">
      <alignment horizontal="center"/>
    </xf>
    <xf numFmtId="166" fontId="43" fillId="0" borderId="0" xfId="2" applyNumberFormat="1" applyFont="1" applyBorder="1" applyAlignment="1">
      <alignment horizontal="center"/>
    </xf>
    <xf numFmtId="43" fontId="60" fillId="0" borderId="0" xfId="1" applyFont="1"/>
    <xf numFmtId="43" fontId="55" fillId="0" borderId="0" xfId="1" applyFont="1" applyFill="1" applyBorder="1" applyAlignment="1">
      <alignment horizontal="left"/>
    </xf>
    <xf numFmtId="43" fontId="1" fillId="0" borderId="0" xfId="1" applyFont="1" applyFill="1"/>
    <xf numFmtId="181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3" sqref="R3"/>
    </sheetView>
  </sheetViews>
  <sheetFormatPr defaultColWidth="8.7109375" defaultRowHeight="12.75"/>
  <cols>
    <col min="1" max="1" width="3.28515625" style="28" customWidth="1"/>
    <col min="2" max="2" width="14.7109375" style="28" customWidth="1"/>
    <col min="3" max="3" width="14.7109375" style="27" hidden="1" customWidth="1"/>
    <col min="4" max="6" width="13.42578125" style="27" hidden="1" customWidth="1"/>
    <col min="7" max="7" width="13.7109375" style="27" hidden="1" customWidth="1"/>
    <col min="8" max="8" width="13.7109375" style="28" hidden="1" customWidth="1"/>
    <col min="9" max="9" width="9.7109375" style="28" customWidth="1"/>
    <col min="10" max="13" width="9.7109375" style="28" bestFit="1" customWidth="1"/>
    <col min="14" max="14" width="11.28515625" style="28" bestFit="1" customWidth="1"/>
    <col min="15" max="15" width="12.28515625" style="28" bestFit="1" customWidth="1"/>
    <col min="16" max="16" width="11.42578125" style="28" bestFit="1" customWidth="1"/>
    <col min="17" max="17" width="12.28515625" style="28" bestFit="1" customWidth="1"/>
    <col min="18" max="18" width="12.28515625" style="28" customWidth="1"/>
    <col min="19" max="19" width="12.28515625" style="28" bestFit="1" customWidth="1"/>
    <col min="20" max="16384" width="8.7109375" style="28"/>
  </cols>
  <sheetData>
    <row r="1" spans="1:19">
      <c r="A1" s="5" t="s">
        <v>202</v>
      </c>
      <c r="C1" s="55">
        <v>2007</v>
      </c>
      <c r="D1" s="55">
        <v>2008</v>
      </c>
      <c r="E1" s="55">
        <v>2009</v>
      </c>
      <c r="F1" s="55">
        <v>2010</v>
      </c>
      <c r="G1" s="55">
        <v>2011</v>
      </c>
      <c r="H1" s="55">
        <f>SUM(G1+1)</f>
        <v>2012</v>
      </c>
      <c r="I1" s="55">
        <f>SUM(H1+1)</f>
        <v>2013</v>
      </c>
      <c r="J1" s="55">
        <f>SUM(I1+1)</f>
        <v>2014</v>
      </c>
      <c r="K1" s="55">
        <f>SUM(J1+1)</f>
        <v>2015</v>
      </c>
      <c r="L1" s="402">
        <v>2016</v>
      </c>
      <c r="M1" s="404">
        <v>2017</v>
      </c>
      <c r="N1" s="836">
        <v>2018</v>
      </c>
      <c r="O1" s="910">
        <v>2019</v>
      </c>
      <c r="P1" s="966">
        <v>2020</v>
      </c>
      <c r="Q1" s="966">
        <v>2021</v>
      </c>
      <c r="R1" s="966" t="s">
        <v>562</v>
      </c>
      <c r="S1" s="934">
        <v>2022</v>
      </c>
    </row>
    <row r="2" spans="1:19">
      <c r="A2" s="5"/>
      <c r="I2" s="909" t="s">
        <v>374</v>
      </c>
      <c r="J2" s="402" t="s">
        <v>374</v>
      </c>
      <c r="K2" s="402" t="s">
        <v>374</v>
      </c>
      <c r="L2" s="402" t="s">
        <v>374</v>
      </c>
      <c r="M2" s="404" t="s">
        <v>374</v>
      </c>
      <c r="N2" s="836" t="s">
        <v>374</v>
      </c>
      <c r="O2" s="910" t="s">
        <v>374</v>
      </c>
      <c r="P2" s="966" t="s">
        <v>374</v>
      </c>
      <c r="Q2" s="934" t="s">
        <v>374</v>
      </c>
      <c r="R2" s="966" t="s">
        <v>374</v>
      </c>
      <c r="S2" s="934" t="s">
        <v>456</v>
      </c>
    </row>
    <row r="3" spans="1:19">
      <c r="A3" s="28" t="s">
        <v>222</v>
      </c>
      <c r="C3" s="114">
        <v>708532</v>
      </c>
      <c r="D3" s="114">
        <v>650424</v>
      </c>
      <c r="E3" s="114">
        <v>521175</v>
      </c>
      <c r="F3" s="400">
        <v>278274</v>
      </c>
      <c r="G3" s="838">
        <v>117019</v>
      </c>
      <c r="H3" s="839">
        <v>80992</v>
      </c>
      <c r="I3" s="115">
        <f>SUM(H3-11741)</f>
        <v>69251</v>
      </c>
      <c r="J3" s="115">
        <v>178109</v>
      </c>
      <c r="K3" s="115">
        <v>140948</v>
      </c>
      <c r="L3" s="115">
        <v>164414</v>
      </c>
      <c r="M3" s="406">
        <v>161175</v>
      </c>
      <c r="N3" s="906">
        <v>264482</v>
      </c>
      <c r="O3" s="115">
        <v>301963</v>
      </c>
      <c r="P3" s="115">
        <v>391407</v>
      </c>
      <c r="Q3" s="115">
        <v>550512</v>
      </c>
      <c r="R3" s="115"/>
      <c r="S3" s="115">
        <f>'Combined GF Revenues'!H75</f>
        <v>315995.63309052284</v>
      </c>
    </row>
    <row r="4" spans="1:19">
      <c r="C4" s="114"/>
      <c r="D4" s="114"/>
      <c r="E4" s="114"/>
      <c r="F4" s="400"/>
      <c r="G4" s="838"/>
      <c r="H4" s="839"/>
      <c r="I4" s="115"/>
      <c r="J4" s="115"/>
      <c r="K4" s="115"/>
      <c r="L4" s="115"/>
      <c r="M4" s="115"/>
      <c r="N4" s="906"/>
      <c r="O4" s="115"/>
      <c r="P4" s="115"/>
      <c r="Q4" s="115"/>
      <c r="R4" s="115"/>
      <c r="S4" s="115"/>
    </row>
    <row r="5" spans="1:19">
      <c r="A5" s="28" t="s">
        <v>176</v>
      </c>
      <c r="C5" s="114">
        <v>66693</v>
      </c>
      <c r="D5" s="114">
        <v>70565</v>
      </c>
      <c r="E5" s="114">
        <f>SUM(D5+1409)</f>
        <v>71974</v>
      </c>
      <c r="F5" s="400">
        <f>SUM(E5+363)</f>
        <v>72337</v>
      </c>
      <c r="G5" s="400">
        <v>16418</v>
      </c>
      <c r="H5" s="400">
        <v>16418</v>
      </c>
      <c r="I5" s="114">
        <v>16418</v>
      </c>
      <c r="J5" s="114">
        <v>16418</v>
      </c>
      <c r="K5" s="114">
        <v>16418</v>
      </c>
      <c r="L5" s="115">
        <v>16418</v>
      </c>
      <c r="M5" s="115">
        <v>16418</v>
      </c>
      <c r="N5" s="906">
        <v>96915</v>
      </c>
      <c r="O5" s="115">
        <v>121914</v>
      </c>
      <c r="P5" s="406">
        <v>114496</v>
      </c>
      <c r="Q5" s="115">
        <v>108300</v>
      </c>
      <c r="R5" s="115"/>
      <c r="S5" s="115">
        <f>Reserve!H46</f>
        <v>106300</v>
      </c>
    </row>
    <row r="6" spans="1:19">
      <c r="C6" s="114"/>
      <c r="D6" s="114"/>
      <c r="E6" s="114"/>
      <c r="F6" s="400"/>
      <c r="G6" s="400"/>
      <c r="H6" s="400"/>
      <c r="I6" s="114"/>
      <c r="J6" s="114"/>
      <c r="K6" s="114"/>
      <c r="L6" s="115"/>
      <c r="M6" s="115"/>
      <c r="N6" s="906"/>
      <c r="O6" s="115"/>
      <c r="P6" s="406"/>
      <c r="Q6" s="115"/>
      <c r="R6" s="115"/>
      <c r="S6" s="115"/>
    </row>
    <row r="7" spans="1:19">
      <c r="A7" s="28" t="s">
        <v>184</v>
      </c>
      <c r="C7" s="114">
        <v>6841</v>
      </c>
      <c r="D7" s="114">
        <v>-2055</v>
      </c>
      <c r="E7" s="114">
        <v>-7708</v>
      </c>
      <c r="F7" s="400">
        <v>-379</v>
      </c>
      <c r="G7" s="400">
        <v>14841</v>
      </c>
      <c r="H7" s="839">
        <v>18513</v>
      </c>
      <c r="I7" s="115">
        <f>SUM(H7+7021)</f>
        <v>25534</v>
      </c>
      <c r="J7" s="115">
        <v>21643</v>
      </c>
      <c r="K7" s="115">
        <v>26713</v>
      </c>
      <c r="L7" s="406">
        <v>30274</v>
      </c>
      <c r="M7" s="406">
        <v>16573</v>
      </c>
      <c r="N7" s="906">
        <v>12036</v>
      </c>
      <c r="O7" s="115">
        <v>4990</v>
      </c>
      <c r="P7" s="406">
        <v>11086</v>
      </c>
      <c r="Q7" s="115">
        <v>24105</v>
      </c>
      <c r="R7" s="115"/>
      <c r="S7" s="115">
        <f>'Storm Drain'!H65</f>
        <v>24192.757377524991</v>
      </c>
    </row>
    <row r="8" spans="1:19">
      <c r="C8" s="114"/>
      <c r="D8" s="114"/>
      <c r="E8" s="114"/>
      <c r="F8" s="400"/>
      <c r="G8" s="400"/>
      <c r="H8" s="839"/>
      <c r="I8" s="115"/>
      <c r="J8" s="115"/>
      <c r="K8" s="115"/>
      <c r="L8" s="115"/>
      <c r="M8" s="115"/>
      <c r="N8" s="906"/>
      <c r="O8" s="115"/>
      <c r="P8" s="115"/>
      <c r="Q8" s="115"/>
      <c r="R8" s="115"/>
      <c r="S8" s="115"/>
    </row>
    <row r="9" spans="1:19">
      <c r="A9" s="28" t="s">
        <v>53</v>
      </c>
      <c r="C9" s="114">
        <v>21123</v>
      </c>
      <c r="D9" s="114">
        <v>30535</v>
      </c>
      <c r="E9" s="114">
        <v>25032</v>
      </c>
      <c r="F9" s="400">
        <v>29913</v>
      </c>
      <c r="G9" s="400">
        <v>32629</v>
      </c>
      <c r="H9" s="839">
        <v>41691</v>
      </c>
      <c r="I9" s="115">
        <f>SUM(H9+20287)</f>
        <v>61978</v>
      </c>
      <c r="J9" s="115">
        <v>73098</v>
      </c>
      <c r="K9" s="115">
        <v>70645</v>
      </c>
      <c r="L9" s="115">
        <v>83970</v>
      </c>
      <c r="M9" s="406">
        <v>84244</v>
      </c>
      <c r="N9" s="907">
        <v>95378</v>
      </c>
      <c r="O9" s="115">
        <v>112466</v>
      </c>
      <c r="P9" s="115">
        <v>110520</v>
      </c>
      <c r="Q9" s="115">
        <v>130879</v>
      </c>
      <c r="R9" s="115"/>
      <c r="S9" s="115">
        <f>Street!H68</f>
        <v>55106.735006473726</v>
      </c>
    </row>
    <row r="10" spans="1:19">
      <c r="C10" s="114"/>
      <c r="D10" s="114"/>
      <c r="E10" s="114"/>
      <c r="F10" s="400"/>
      <c r="G10" s="400"/>
      <c r="H10" s="839"/>
      <c r="I10" s="115"/>
      <c r="J10" s="115"/>
      <c r="K10" s="115"/>
      <c r="L10" s="115"/>
      <c r="M10" s="115"/>
      <c r="N10" s="906"/>
      <c r="O10" s="115"/>
      <c r="P10" s="115"/>
      <c r="Q10" s="115"/>
      <c r="R10" s="115"/>
      <c r="S10" s="115"/>
    </row>
    <row r="11" spans="1:19">
      <c r="A11" s="28" t="s">
        <v>187</v>
      </c>
      <c r="C11" s="114">
        <v>439397</v>
      </c>
      <c r="D11" s="114">
        <v>466155</v>
      </c>
      <c r="E11" s="114">
        <v>480785</v>
      </c>
      <c r="F11" s="400">
        <v>483174</v>
      </c>
      <c r="G11" s="400">
        <v>172514</v>
      </c>
      <c r="H11" s="839">
        <f>SUM(G11+9297)</f>
        <v>181811</v>
      </c>
      <c r="I11" s="115">
        <v>181811</v>
      </c>
      <c r="J11" s="115">
        <f>SUM(I11+10328)</f>
        <v>192139</v>
      </c>
      <c r="K11" s="115">
        <v>192139</v>
      </c>
      <c r="L11" s="115">
        <v>203419</v>
      </c>
      <c r="M11" s="406">
        <v>235357</v>
      </c>
      <c r="N11" s="906">
        <v>246657</v>
      </c>
      <c r="O11" s="115">
        <v>308316</v>
      </c>
      <c r="P11" s="406">
        <v>872464.14796650968</v>
      </c>
      <c r="Q11" s="115">
        <v>2010952</v>
      </c>
      <c r="R11" s="115"/>
      <c r="S11" s="115">
        <f>SDC!H51</f>
        <v>2108796.9479665095</v>
      </c>
    </row>
    <row r="12" spans="1:19">
      <c r="B12" s="28" t="s">
        <v>53</v>
      </c>
      <c r="C12" s="114"/>
      <c r="D12" s="114"/>
      <c r="E12" s="114"/>
      <c r="F12" s="400"/>
      <c r="G12" s="400"/>
      <c r="H12" s="839"/>
      <c r="I12" s="115"/>
      <c r="J12" s="115"/>
      <c r="K12" s="115"/>
      <c r="L12" s="115"/>
      <c r="M12" s="115"/>
      <c r="N12" s="906"/>
      <c r="O12" s="115"/>
      <c r="P12" s="406"/>
      <c r="Q12" s="115"/>
      <c r="R12" s="115"/>
      <c r="S12" s="115"/>
    </row>
    <row r="13" spans="1:19">
      <c r="B13" s="28" t="s">
        <v>188</v>
      </c>
      <c r="C13" s="114"/>
      <c r="D13" s="114"/>
      <c r="E13" s="114"/>
      <c r="F13" s="400"/>
      <c r="G13" s="400"/>
      <c r="H13" s="839"/>
      <c r="I13" s="115"/>
      <c r="J13" s="115"/>
      <c r="K13" s="115"/>
      <c r="L13" s="115"/>
      <c r="M13" s="115"/>
      <c r="N13" s="906"/>
      <c r="O13" s="115"/>
      <c r="P13" s="406"/>
      <c r="Q13" s="115"/>
      <c r="R13" s="115"/>
      <c r="S13" s="115"/>
    </row>
    <row r="14" spans="1:19">
      <c r="B14" s="28" t="s">
        <v>52</v>
      </c>
      <c r="C14" s="114"/>
      <c r="D14" s="114"/>
      <c r="E14" s="114"/>
      <c r="F14" s="400"/>
      <c r="G14" s="400"/>
      <c r="H14" s="839"/>
      <c r="I14" s="115"/>
      <c r="J14" s="115"/>
      <c r="K14" s="115"/>
      <c r="L14" s="115"/>
      <c r="M14" s="115"/>
      <c r="N14" s="906"/>
      <c r="O14" s="115"/>
      <c r="P14" s="406"/>
      <c r="Q14" s="115"/>
      <c r="R14" s="115"/>
      <c r="S14" s="115"/>
    </row>
    <row r="15" spans="1:19">
      <c r="A15" s="28" t="s">
        <v>188</v>
      </c>
      <c r="C15" s="114">
        <v>119182</v>
      </c>
      <c r="D15" s="225">
        <v>79222</v>
      </c>
      <c r="E15" s="225">
        <v>-5874</v>
      </c>
      <c r="F15" s="838">
        <v>-70496</v>
      </c>
      <c r="G15" s="400">
        <v>-110908</v>
      </c>
      <c r="H15" s="839">
        <v>-126924</v>
      </c>
      <c r="I15" s="115">
        <f>SUM(H15+50137)</f>
        <v>-76787</v>
      </c>
      <c r="J15" s="115">
        <v>-86458</v>
      </c>
      <c r="K15" s="115">
        <v>-56888</v>
      </c>
      <c r="L15" s="406">
        <v>-15356</v>
      </c>
      <c r="M15" s="406">
        <v>-6931</v>
      </c>
      <c r="N15" s="908">
        <v>2988</v>
      </c>
      <c r="O15" s="115">
        <v>-1508</v>
      </c>
      <c r="P15" s="406">
        <v>127659</v>
      </c>
      <c r="Q15" s="115">
        <v>177250</v>
      </c>
      <c r="R15" s="115"/>
      <c r="S15" s="115">
        <f>Wastewater!H97</f>
        <v>36535.184914753307</v>
      </c>
    </row>
    <row r="16" spans="1:19">
      <c r="C16" s="114"/>
      <c r="D16" s="225"/>
      <c r="E16" s="225"/>
      <c r="F16" s="838"/>
      <c r="G16" s="400"/>
      <c r="H16" s="839"/>
      <c r="I16" s="115"/>
      <c r="J16" s="115"/>
      <c r="K16" s="115"/>
      <c r="L16" s="115"/>
      <c r="M16" s="115"/>
      <c r="N16" s="906"/>
      <c r="O16" s="115"/>
      <c r="P16" s="406"/>
      <c r="Q16" s="115"/>
      <c r="R16" s="115"/>
      <c r="S16" s="115"/>
    </row>
    <row r="17" spans="1:19">
      <c r="A17" s="28" t="s">
        <v>52</v>
      </c>
      <c r="C17" s="114">
        <v>466963</v>
      </c>
      <c r="D17" s="226">
        <v>489227</v>
      </c>
      <c r="E17" s="226">
        <v>508956</v>
      </c>
      <c r="F17" s="840">
        <v>469897</v>
      </c>
      <c r="G17" s="840">
        <v>372212</v>
      </c>
      <c r="H17" s="839">
        <v>333538</v>
      </c>
      <c r="I17" s="115">
        <f>SUM(H17-39797)</f>
        <v>293741</v>
      </c>
      <c r="J17" s="115">
        <v>278356</v>
      </c>
      <c r="K17" s="115">
        <v>143648</v>
      </c>
      <c r="L17" s="115">
        <v>141725</v>
      </c>
      <c r="M17" s="406">
        <v>389367</v>
      </c>
      <c r="N17" s="906">
        <v>587803</v>
      </c>
      <c r="O17" s="115">
        <v>723308</v>
      </c>
      <c r="P17" s="406">
        <v>759714</v>
      </c>
      <c r="Q17" s="115">
        <v>639482</v>
      </c>
      <c r="R17" s="115"/>
      <c r="S17" s="115">
        <f>Water!H101</f>
        <v>259776.83704318013</v>
      </c>
    </row>
    <row r="18" spans="1:19">
      <c r="C18" s="114"/>
      <c r="D18" s="114"/>
      <c r="E18" s="114"/>
      <c r="F18" s="400"/>
      <c r="G18" s="400"/>
      <c r="H18" s="839"/>
      <c r="I18" s="115"/>
      <c r="J18" s="115"/>
      <c r="K18" s="115"/>
      <c r="L18" s="115"/>
      <c r="M18" s="115"/>
      <c r="N18" s="906"/>
      <c r="O18" s="115"/>
      <c r="P18" s="115"/>
      <c r="Q18" s="115"/>
      <c r="R18" s="115"/>
      <c r="S18" s="115"/>
    </row>
    <row r="19" spans="1:19">
      <c r="B19" s="5" t="s">
        <v>243</v>
      </c>
      <c r="C19" s="114">
        <f t="shared" ref="C19:J19" si="0">SUM(C3:C18)</f>
        <v>1828731</v>
      </c>
      <c r="D19" s="114">
        <f t="shared" si="0"/>
        <v>1784073</v>
      </c>
      <c r="E19" s="114">
        <f t="shared" si="0"/>
        <v>1594340</v>
      </c>
      <c r="F19" s="400">
        <f t="shared" si="0"/>
        <v>1262720</v>
      </c>
      <c r="G19" s="400">
        <f>SUM(G3:G18)</f>
        <v>614725</v>
      </c>
      <c r="H19" s="400">
        <f t="shared" si="0"/>
        <v>546039</v>
      </c>
      <c r="I19" s="114">
        <f t="shared" si="0"/>
        <v>571946</v>
      </c>
      <c r="J19" s="114">
        <f t="shared" si="0"/>
        <v>673305</v>
      </c>
      <c r="K19" s="114">
        <f t="shared" ref="K19:P19" si="1">SUM(K3:K18)</f>
        <v>533623</v>
      </c>
      <c r="L19" s="114">
        <f t="shared" si="1"/>
        <v>624864</v>
      </c>
      <c r="M19" s="407">
        <f t="shared" si="1"/>
        <v>896203</v>
      </c>
      <c r="N19" s="407">
        <f t="shared" si="1"/>
        <v>1306259</v>
      </c>
      <c r="O19" s="407">
        <f t="shared" si="1"/>
        <v>1571449</v>
      </c>
      <c r="P19" s="407">
        <f t="shared" si="1"/>
        <v>2387346.1479665097</v>
      </c>
      <c r="Q19" s="407">
        <f t="shared" ref="Q19:S19" si="2">SUM(Q3:Q18)</f>
        <v>3641480</v>
      </c>
      <c r="R19" s="407"/>
      <c r="S19" s="407">
        <f t="shared" si="2"/>
        <v>2906704.0953989644</v>
      </c>
    </row>
    <row r="20" spans="1:19">
      <c r="C20" s="114"/>
      <c r="D20" s="114"/>
      <c r="E20" s="114"/>
      <c r="F20" s="400"/>
      <c r="G20" s="400"/>
      <c r="H20" s="839"/>
      <c r="I20" s="115"/>
      <c r="J20" s="115"/>
      <c r="K20" s="115"/>
      <c r="L20" s="115"/>
      <c r="M20" s="406"/>
      <c r="N20" s="906"/>
      <c r="O20" s="115"/>
      <c r="P20" s="115"/>
      <c r="Q20" s="115"/>
      <c r="R20" s="115"/>
      <c r="S20" s="115"/>
    </row>
    <row r="21" spans="1:19">
      <c r="A21" s="5" t="s">
        <v>223</v>
      </c>
      <c r="B21" s="115"/>
      <c r="C21" s="114">
        <v>1760627</v>
      </c>
      <c r="D21" s="114">
        <v>1752295</v>
      </c>
      <c r="E21" s="114">
        <v>1552901</v>
      </c>
      <c r="F21" s="400">
        <v>1291246</v>
      </c>
      <c r="G21" s="400">
        <v>620061</v>
      </c>
      <c r="H21" s="839">
        <v>484080</v>
      </c>
      <c r="I21" s="115">
        <v>501599</v>
      </c>
      <c r="J21" s="115">
        <v>602561</v>
      </c>
      <c r="K21" s="115">
        <v>504379</v>
      </c>
      <c r="L21" s="115">
        <v>577858</v>
      </c>
      <c r="M21" s="406">
        <v>929705</v>
      </c>
      <c r="N21" s="906">
        <v>1170463</v>
      </c>
      <c r="O21" s="115">
        <v>1405610</v>
      </c>
      <c r="P21" s="115">
        <v>1867675</v>
      </c>
      <c r="Q21" s="115">
        <v>2988103</v>
      </c>
      <c r="R21" s="115"/>
      <c r="S21" s="115"/>
    </row>
    <row r="25" spans="1:19">
      <c r="D25" s="189">
        <f>SUM(D12:D14)</f>
        <v>0</v>
      </c>
    </row>
  </sheetData>
  <pageMargins left="0.7" right="0.7" top="0.75" bottom="0.75" header="0.3" footer="0.3"/>
  <pageSetup orientation="landscape" r:id="rId1"/>
  <headerFooter>
    <oddHeader>&amp;C&amp;A</oddHead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2"/>
  <sheetViews>
    <sheetView topLeftCell="D17" zoomScale="75" zoomScaleNormal="75" zoomScalePageLayoutView="75" workbookViewId="0">
      <selection activeCell="G49" sqref="G49"/>
    </sheetView>
  </sheetViews>
  <sheetFormatPr defaultColWidth="8.7109375" defaultRowHeight="14.25"/>
  <cols>
    <col min="1" max="3" width="0" style="54" hidden="1" customWidth="1"/>
    <col min="4" max="4" width="46.28515625" style="54" customWidth="1"/>
    <col min="5" max="5" width="13.7109375" style="257" bestFit="1" customWidth="1"/>
    <col min="6" max="6" width="13.42578125" style="54" bestFit="1" customWidth="1"/>
    <col min="7" max="7" width="13.7109375" style="54" bestFit="1" customWidth="1"/>
    <col min="8" max="8" width="14" style="54" bestFit="1" customWidth="1"/>
    <col min="9" max="9" width="3.28515625" style="54" customWidth="1"/>
    <col min="10" max="11" width="12.28515625" style="54" bestFit="1" customWidth="1"/>
    <col min="12" max="12" width="10.28515625" style="54" bestFit="1" customWidth="1"/>
    <col min="13" max="13" width="14.7109375" style="54" bestFit="1" customWidth="1"/>
    <col min="14" max="17" width="14.140625" style="54" customWidth="1"/>
    <col min="18" max="16384" width="8.7109375" style="54"/>
  </cols>
  <sheetData>
    <row r="1" spans="1:17" ht="15">
      <c r="A1" s="256" t="s">
        <v>0</v>
      </c>
      <c r="B1" s="256"/>
      <c r="C1" s="256"/>
      <c r="D1" s="1077" t="s">
        <v>0</v>
      </c>
      <c r="E1" s="1078"/>
      <c r="F1" s="1078"/>
      <c r="G1" s="1078"/>
      <c r="H1" s="1078"/>
      <c r="I1" s="1078"/>
      <c r="J1" s="1078"/>
      <c r="K1" s="1078"/>
      <c r="N1" s="39" t="s">
        <v>381</v>
      </c>
      <c r="O1" s="39" t="s">
        <v>382</v>
      </c>
    </row>
    <row r="2" spans="1:17" ht="15">
      <c r="A2" s="1079" t="s">
        <v>566</v>
      </c>
      <c r="B2" s="1079"/>
      <c r="C2" s="1079"/>
      <c r="D2" s="1079"/>
      <c r="E2" s="1079"/>
      <c r="F2" s="1079"/>
      <c r="G2" s="1079"/>
      <c r="H2" s="1079"/>
      <c r="I2" s="1080"/>
      <c r="J2" s="1080"/>
      <c r="K2" s="1080"/>
      <c r="N2" s="780" t="s">
        <v>568</v>
      </c>
      <c r="O2" s="780" t="s">
        <v>568</v>
      </c>
    </row>
    <row r="4" spans="1:17" ht="15">
      <c r="A4" s="1079" t="s">
        <v>148</v>
      </c>
      <c r="B4" s="1079"/>
      <c r="C4" s="1079"/>
      <c r="D4" s="1079"/>
      <c r="E4" s="1079"/>
      <c r="F4" s="1079"/>
      <c r="G4" s="1079"/>
      <c r="H4" s="1079"/>
      <c r="I4" s="1080"/>
      <c r="J4" s="1080"/>
      <c r="K4" s="1080"/>
    </row>
    <row r="5" spans="1:17" ht="16.5">
      <c r="A5" s="238"/>
      <c r="B5" s="238"/>
      <c r="C5" s="236"/>
      <c r="H5" s="258"/>
      <c r="I5" s="259"/>
    </row>
    <row r="6" spans="1:17" ht="17.25">
      <c r="A6" s="238"/>
      <c r="B6" s="238"/>
      <c r="C6" s="236"/>
      <c r="D6" s="245"/>
      <c r="E6" s="273" t="s">
        <v>54</v>
      </c>
      <c r="F6" s="273" t="s">
        <v>54</v>
      </c>
      <c r="G6" s="647" t="s">
        <v>1</v>
      </c>
      <c r="H6" s="647" t="s">
        <v>2</v>
      </c>
      <c r="I6" s="648"/>
      <c r="J6" s="273" t="s">
        <v>56</v>
      </c>
      <c r="K6" s="630" t="s">
        <v>86</v>
      </c>
    </row>
    <row r="7" spans="1:17" ht="17.25">
      <c r="A7" s="238"/>
      <c r="B7" s="238"/>
      <c r="C7" s="236"/>
      <c r="D7" s="245"/>
      <c r="E7" s="273"/>
      <c r="F7" s="273"/>
      <c r="G7" s="647" t="s">
        <v>3</v>
      </c>
      <c r="H7" s="647" t="s">
        <v>56</v>
      </c>
      <c r="I7" s="648"/>
      <c r="J7" s="273" t="s">
        <v>44</v>
      </c>
      <c r="K7" s="630" t="s">
        <v>4</v>
      </c>
    </row>
    <row r="8" spans="1:17" ht="17.25">
      <c r="A8" s="238" t="s">
        <v>5</v>
      </c>
      <c r="B8" s="238"/>
      <c r="C8" s="236"/>
      <c r="D8" s="245"/>
      <c r="E8" s="280" t="s">
        <v>330</v>
      </c>
      <c r="F8" s="280" t="s">
        <v>366</v>
      </c>
      <c r="G8" s="280" t="s">
        <v>472</v>
      </c>
      <c r="H8" s="280" t="s">
        <v>473</v>
      </c>
      <c r="I8" s="911"/>
      <c r="J8" s="649" t="str">
        <f>H8</f>
        <v>2022-23</v>
      </c>
      <c r="K8" s="649" t="str">
        <f>J8</f>
        <v>2022-23</v>
      </c>
    </row>
    <row r="9" spans="1:17" ht="15" hidden="1">
      <c r="A9" s="238" t="s">
        <v>5</v>
      </c>
      <c r="B9" s="238"/>
      <c r="C9" s="236"/>
      <c r="D9" s="260" t="s">
        <v>17</v>
      </c>
      <c r="E9" s="438" t="e">
        <f>SUM(#REF!)</f>
        <v>#REF!</v>
      </c>
      <c r="F9" s="438" t="e">
        <f>SUM(#REF!)</f>
        <v>#REF!</v>
      </c>
      <c r="G9" s="438" t="e">
        <f>SUM(#REF!)</f>
        <v>#REF!</v>
      </c>
      <c r="I9" s="437"/>
      <c r="J9" s="438"/>
      <c r="K9" s="266"/>
    </row>
    <row r="10" spans="1:17" ht="10.15" hidden="1" customHeight="1">
      <c r="A10" s="238"/>
      <c r="B10" s="238"/>
      <c r="C10" s="236"/>
      <c r="D10" s="245"/>
      <c r="E10" s="261"/>
      <c r="F10" s="261"/>
      <c r="G10" s="261"/>
      <c r="I10" s="244"/>
      <c r="J10" s="261"/>
      <c r="K10" s="261"/>
    </row>
    <row r="11" spans="1:17" ht="17.25">
      <c r="A11" s="238"/>
      <c r="B11" s="238"/>
      <c r="C11" s="236"/>
      <c r="D11" s="260" t="s">
        <v>29</v>
      </c>
      <c r="E11" s="262"/>
      <c r="F11" s="262"/>
      <c r="G11" s="262"/>
      <c r="I11" s="263"/>
      <c r="M11" s="54" t="s">
        <v>294</v>
      </c>
      <c r="N11" s="54" t="s">
        <v>295</v>
      </c>
      <c r="O11" s="54" t="s">
        <v>149</v>
      </c>
    </row>
    <row r="12" spans="1:17" ht="16.5">
      <c r="A12" s="238"/>
      <c r="B12" s="238"/>
      <c r="C12" s="236"/>
      <c r="D12" s="54" t="s">
        <v>220</v>
      </c>
      <c r="E12" s="168">
        <f>SUM('GF-Admin &amp; Plng'!E11+'GF-Parks'!E11+'GF-Public Safety'!E16)</f>
        <v>51897</v>
      </c>
      <c r="F12" s="791">
        <f>SUM('GF-Admin &amp; Plng'!F11+'GF-Parks'!F11+'GF-Public Safety'!F16)</f>
        <v>95669</v>
      </c>
      <c r="G12" s="791">
        <f>SUM('GF-Admin &amp; Plng'!G11+'GF-Parks'!G11+'GF-Public Safety'!G16)</f>
        <v>110267.12219545443</v>
      </c>
      <c r="H12" s="791">
        <f>SUM('GF-Admin &amp; Plng'!H11+'GF-Parks'!H11+'GF-Public Safety'!H16)</f>
        <v>116538.2969657236</v>
      </c>
      <c r="I12" s="263"/>
      <c r="J12" s="151">
        <f>IF($N$2="Yes",H12,0)</f>
        <v>0</v>
      </c>
      <c r="K12" s="109">
        <f>IF($O$2="Yes",J12,0)</f>
        <v>0</v>
      </c>
      <c r="M12" s="264">
        <f>SUM('GF-Admin &amp; Plng'!G11)</f>
        <v>76043.829822855929</v>
      </c>
      <c r="N12" s="264">
        <f>SUM('GF-Parks'!F11)</f>
        <v>12623</v>
      </c>
      <c r="O12" s="264">
        <f>SUM('GF-Public Safety'!F16)</f>
        <v>5934</v>
      </c>
      <c r="P12" s="264">
        <f t="shared" ref="P12:Q15" si="0">SUM(L12:O12)</f>
        <v>94600.829822855929</v>
      </c>
      <c r="Q12" s="264">
        <f t="shared" si="0"/>
        <v>189201.65964571186</v>
      </c>
    </row>
    <row r="13" spans="1:17" ht="16.5">
      <c r="A13" s="238"/>
      <c r="B13" s="238"/>
      <c r="C13" s="236"/>
      <c r="D13" s="54" t="s">
        <v>198</v>
      </c>
      <c r="E13" s="168">
        <f>SUM('GF-Admin &amp; Plng'!E12+'GF-Parks'!E12+'GF-Public Safety'!E17)</f>
        <v>4880</v>
      </c>
      <c r="F13" s="791">
        <f>SUM('GF-Admin &amp; Plng'!F12+'GF-Parks'!F12+'GF-Public Safety'!F17)</f>
        <v>7548</v>
      </c>
      <c r="G13" s="791">
        <f>SUM('GF-Admin &amp; Plng'!G12+'GF-Parks'!G12+'GF-Public Safety'!G17)</f>
        <v>13248.478938904107</v>
      </c>
      <c r="H13" s="791">
        <f>SUM('GF-Admin &amp; Plng'!H12+'GF-Parks'!H12+'GF-Public Safety'!H17)</f>
        <v>13816.581065463</v>
      </c>
      <c r="I13" s="263"/>
      <c r="J13" s="262">
        <f t="shared" ref="J13:J15" si="1">IF($N$2="Yes",H13,0)</f>
        <v>0</v>
      </c>
      <c r="K13" s="262">
        <f t="shared" ref="K13:K15" si="2">IF($O$2="Yes",J13,0)</f>
        <v>0</v>
      </c>
      <c r="M13" s="264">
        <f>SUM('GF-Admin &amp; Plng'!G12)</f>
        <v>10509.257281518687</v>
      </c>
      <c r="N13" s="264">
        <f>SUM('GF-Parks'!F12)</f>
        <v>2342</v>
      </c>
      <c r="O13" s="264">
        <f>SUM('GF-Public Safety'!F17)</f>
        <v>317</v>
      </c>
      <c r="P13" s="264">
        <f t="shared" si="0"/>
        <v>13168.257281518687</v>
      </c>
      <c r="Q13" s="264">
        <f t="shared" si="0"/>
        <v>26336.514563037374</v>
      </c>
    </row>
    <row r="14" spans="1:17" ht="16.5">
      <c r="A14" s="238"/>
      <c r="B14" s="238"/>
      <c r="C14" s="236"/>
      <c r="D14" s="54" t="s">
        <v>260</v>
      </c>
      <c r="E14" s="168">
        <f>SUM('GF-Admin &amp; Plng'!E13+'GF-Parks'!E13+'GF-Public Safety'!E18)</f>
        <v>11434</v>
      </c>
      <c r="F14" s="791">
        <f>SUM('GF-Admin &amp; Plng'!F13+'GF-Parks'!F13+'GF-Public Safety'!F18)</f>
        <v>24626</v>
      </c>
      <c r="G14" s="791">
        <f>SUM('GF-Admin &amp; Plng'!G13+'GF-Parks'!G13+'GF-Public Safety'!G18)</f>
        <v>25729.207999999999</v>
      </c>
      <c r="H14" s="791">
        <f>SUM('GF-Admin &amp; Plng'!H13+'GF-Parks'!H13+'GF-Public Safety'!H18)</f>
        <v>25729.207999999999</v>
      </c>
      <c r="I14" s="263"/>
      <c r="J14" s="262">
        <f t="shared" si="1"/>
        <v>0</v>
      </c>
      <c r="K14" s="262">
        <f t="shared" si="2"/>
        <v>0</v>
      </c>
      <c r="M14" s="264">
        <v>29145.49725</v>
      </c>
      <c r="N14" s="264">
        <v>7845.76</v>
      </c>
      <c r="O14" s="264">
        <v>13014.865733333336</v>
      </c>
      <c r="P14" s="264">
        <f t="shared" si="0"/>
        <v>50006.122983333335</v>
      </c>
      <c r="Q14" s="264">
        <f t="shared" si="0"/>
        <v>100012.24596666667</v>
      </c>
    </row>
    <row r="15" spans="1:17" ht="16.5">
      <c r="A15" s="238"/>
      <c r="B15" s="238"/>
      <c r="C15" s="236"/>
      <c r="D15" s="54" t="s">
        <v>276</v>
      </c>
      <c r="E15" s="281">
        <f>SUM('GF-Admin &amp; Plng'!E14+'GF-Parks'!E14+'GF-Public Safety'!E19)</f>
        <v>13125</v>
      </c>
      <c r="F15" s="795">
        <f>SUM('GF-Admin &amp; Plng'!F14+'GF-Parks'!F14+'GF-Public Safety'!F19)</f>
        <v>21488</v>
      </c>
      <c r="G15" s="795">
        <f>SUM('GF-Admin &amp; Plng'!G14+'GF-Parks'!G14+'GF-Public Safety'!G19)</f>
        <v>26036.808102795629</v>
      </c>
      <c r="H15" s="795">
        <f>SUM('GF-Admin &amp; Plng'!H14+'GF-Parks'!H14+'GF-Public Safety'!H19)</f>
        <v>27153.28087829053</v>
      </c>
      <c r="I15" s="263"/>
      <c r="J15" s="271">
        <f t="shared" si="1"/>
        <v>0</v>
      </c>
      <c r="K15" s="271">
        <f t="shared" si="2"/>
        <v>0</v>
      </c>
      <c r="M15" s="264">
        <v>29145.49725</v>
      </c>
      <c r="N15" s="264">
        <v>7845.76</v>
      </c>
      <c r="O15" s="264">
        <v>13014.865733333336</v>
      </c>
      <c r="P15" s="264">
        <f t="shared" si="0"/>
        <v>50006.122983333335</v>
      </c>
      <c r="Q15" s="264">
        <f t="shared" si="0"/>
        <v>100012.24596666667</v>
      </c>
    </row>
    <row r="16" spans="1:17" ht="17.25">
      <c r="A16" s="238"/>
      <c r="B16" s="238"/>
      <c r="C16" s="236"/>
      <c r="D16" s="260" t="s">
        <v>31</v>
      </c>
      <c r="E16" s="265">
        <f>SUM(E12:E15)</f>
        <v>81336</v>
      </c>
      <c r="F16" s="842">
        <f>SUM(F12:F15)</f>
        <v>149331</v>
      </c>
      <c r="G16" s="842">
        <f>SUM(G12:G15)</f>
        <v>175281.61723715416</v>
      </c>
      <c r="H16" s="842">
        <f>SUM(H12:H15)</f>
        <v>183237.36690947713</v>
      </c>
      <c r="I16" s="263"/>
      <c r="J16" s="265">
        <f>SUM(J12:J15)</f>
        <v>0</v>
      </c>
      <c r="K16" s="265">
        <f>SUM(K12:K15)</f>
        <v>0</v>
      </c>
      <c r="M16" s="54">
        <f>SUM('GF-Admin &amp; Plng'!G15+'GF-Parks'!G15+'GF-Public Safety'!G20)</f>
        <v>175281.61723715416</v>
      </c>
    </row>
    <row r="17" spans="1:15" ht="10.15" customHeight="1">
      <c r="A17" s="238"/>
      <c r="B17" s="238"/>
      <c r="C17" s="236"/>
      <c r="D17" s="260"/>
      <c r="E17" s="54"/>
      <c r="F17" s="243"/>
      <c r="G17" s="243"/>
      <c r="H17" s="243"/>
      <c r="I17" s="263"/>
    </row>
    <row r="18" spans="1:15" ht="17.25">
      <c r="A18" s="238"/>
      <c r="B18" s="238"/>
      <c r="C18" s="236"/>
      <c r="D18" s="260" t="s">
        <v>32</v>
      </c>
      <c r="E18" s="54"/>
      <c r="F18" s="243"/>
      <c r="G18" s="243"/>
      <c r="H18" s="243"/>
      <c r="I18" s="259"/>
    </row>
    <row r="19" spans="1:15" ht="16.5">
      <c r="A19" s="238"/>
      <c r="B19" s="238"/>
      <c r="C19" s="236"/>
      <c r="D19" s="54" t="s">
        <v>94</v>
      </c>
      <c r="E19" s="54">
        <f>SUM('GF-NonDep''t'!E12)</f>
        <v>7906</v>
      </c>
      <c r="F19" s="243">
        <f>SUM('GF-NonDep''t'!F12)</f>
        <v>8901</v>
      </c>
      <c r="G19" s="243">
        <f>SUM('GF-NonDep''t'!G12)</f>
        <v>3500</v>
      </c>
      <c r="H19" s="243">
        <f>SUM('GF-NonDep''t'!H12)</f>
        <v>3500</v>
      </c>
      <c r="I19" s="259"/>
      <c r="J19" s="54">
        <f t="shared" ref="J19:J55" si="3">IF($N$2="Yes",H19,0)</f>
        <v>0</v>
      </c>
      <c r="K19" s="54">
        <f t="shared" ref="K19:K55" si="4">IF($O$2="Yes",J19,0)</f>
        <v>0</v>
      </c>
    </row>
    <row r="20" spans="1:15" ht="16.5">
      <c r="A20" s="238"/>
      <c r="B20" s="238"/>
      <c r="C20" s="236"/>
      <c r="D20" s="54" t="s">
        <v>180</v>
      </c>
      <c r="E20" s="54">
        <f>SUM('GF-NonDep''t'!E13)</f>
        <v>1687</v>
      </c>
      <c r="F20" s="243">
        <f>SUM('GF-NonDep''t'!F13)</f>
        <v>2021</v>
      </c>
      <c r="G20" s="243">
        <f>SUM('GF-NonDep''t'!G13)</f>
        <v>1500</v>
      </c>
      <c r="H20" s="243">
        <f>SUM('GF-NonDep''t'!H13)</f>
        <v>1500</v>
      </c>
      <c r="I20" s="259"/>
      <c r="J20" s="54">
        <f t="shared" si="3"/>
        <v>0</v>
      </c>
      <c r="K20" s="54">
        <f t="shared" si="4"/>
        <v>0</v>
      </c>
    </row>
    <row r="21" spans="1:15" ht="16.5" hidden="1">
      <c r="A21" s="238"/>
      <c r="B21" s="238"/>
      <c r="C21" s="236"/>
      <c r="D21" s="54" t="s">
        <v>385</v>
      </c>
      <c r="E21" s="54">
        <f>'GF-NonDep''t'!E14</f>
        <v>0</v>
      </c>
      <c r="F21" s="243">
        <f>'GF-NonDep''t'!F14</f>
        <v>0</v>
      </c>
      <c r="G21" s="243">
        <f>'GF-NonDep''t'!G14</f>
        <v>0</v>
      </c>
      <c r="H21" s="243">
        <f>'GF-NonDep''t'!H14</f>
        <v>0</v>
      </c>
      <c r="I21" s="259"/>
      <c r="J21" s="54">
        <f t="shared" si="3"/>
        <v>0</v>
      </c>
      <c r="K21" s="54">
        <f t="shared" si="4"/>
        <v>0</v>
      </c>
    </row>
    <row r="22" spans="1:15" ht="16.5" hidden="1">
      <c r="A22" s="238"/>
      <c r="B22" s="238"/>
      <c r="C22" s="236"/>
      <c r="D22" s="254" t="s">
        <v>252</v>
      </c>
      <c r="E22" s="54">
        <f>'GF-NonDep''t'!E15</f>
        <v>0</v>
      </c>
      <c r="F22" s="243">
        <f>'GF-NonDep''t'!F15</f>
        <v>0</v>
      </c>
      <c r="G22" s="243">
        <f>'GF-NonDep''t'!G15</f>
        <v>0</v>
      </c>
      <c r="H22" s="243">
        <f>'GF-NonDep''t'!H15</f>
        <v>0</v>
      </c>
      <c r="I22" s="259"/>
      <c r="J22" s="54">
        <f t="shared" si="3"/>
        <v>0</v>
      </c>
      <c r="K22" s="54">
        <f t="shared" si="4"/>
        <v>0</v>
      </c>
    </row>
    <row r="23" spans="1:15" ht="16.5">
      <c r="A23" s="238"/>
      <c r="B23" s="238"/>
      <c r="C23" s="236"/>
      <c r="D23" s="54" t="s">
        <v>33</v>
      </c>
      <c r="E23" s="54">
        <f>SUM('GF-Admin &amp; Plng'!E18)</f>
        <v>0</v>
      </c>
      <c r="F23" s="243">
        <f>SUM('GF-Admin &amp; Plng'!F18)</f>
        <v>0</v>
      </c>
      <c r="G23" s="243">
        <f>SUM('GF-Admin &amp; Plng'!G18)</f>
        <v>200</v>
      </c>
      <c r="H23" s="243">
        <f>SUM('GF-Admin &amp; Plng'!H18)</f>
        <v>200</v>
      </c>
      <c r="I23" s="259"/>
      <c r="J23" s="54">
        <f t="shared" si="3"/>
        <v>0</v>
      </c>
      <c r="K23" s="54">
        <f t="shared" si="4"/>
        <v>0</v>
      </c>
    </row>
    <row r="24" spans="1:15" ht="16.5">
      <c r="A24" s="238"/>
      <c r="B24" s="238"/>
      <c r="C24" s="236"/>
      <c r="D24" s="54" t="s">
        <v>34</v>
      </c>
      <c r="E24" s="54">
        <f>SUM('GF-Admin &amp; Plng'!E19)</f>
        <v>0</v>
      </c>
      <c r="F24" s="243">
        <f>SUM('GF-Admin &amp; Plng'!F19)</f>
        <v>0</v>
      </c>
      <c r="G24" s="243">
        <f>SUM('GF-Admin &amp; Plng'!G19)</f>
        <v>0</v>
      </c>
      <c r="H24" s="243">
        <f>'GF-Admin &amp; Plng'!H22</f>
        <v>15000</v>
      </c>
      <c r="I24" s="259"/>
      <c r="J24" s="54">
        <f t="shared" si="3"/>
        <v>0</v>
      </c>
      <c r="K24" s="54">
        <f t="shared" si="4"/>
        <v>0</v>
      </c>
    </row>
    <row r="25" spans="1:15" ht="16.5">
      <c r="A25" s="238"/>
      <c r="B25" s="238"/>
      <c r="C25" s="236"/>
      <c r="D25" s="54" t="s">
        <v>35</v>
      </c>
      <c r="E25" s="54">
        <f>SUM('GF-Admin &amp; Plng'!E20)</f>
        <v>296</v>
      </c>
      <c r="F25" s="243">
        <f>SUM('GF-Admin &amp; Plng'!F20)</f>
        <v>127</v>
      </c>
      <c r="G25" s="243">
        <f>SUM('GF-Admin &amp; Plng'!G20)</f>
        <v>250</v>
      </c>
      <c r="H25" s="243">
        <f>SUM('GF-Admin &amp; Plng'!H20)</f>
        <v>250</v>
      </c>
      <c r="I25" s="259"/>
      <c r="J25" s="54">
        <f t="shared" si="3"/>
        <v>0</v>
      </c>
      <c r="K25" s="54">
        <f t="shared" si="4"/>
        <v>0</v>
      </c>
      <c r="O25" s="238"/>
    </row>
    <row r="26" spans="1:15" ht="16.5">
      <c r="A26" s="238"/>
      <c r="B26" s="238"/>
      <c r="C26" s="236"/>
      <c r="D26" s="54" t="s">
        <v>72</v>
      </c>
      <c r="E26" s="54">
        <f>SUM('GF-Admin &amp; Plng'!E21+'GF-NonDep''t'!E16+'GF-Public Safety'!E23)+356</f>
        <v>32811</v>
      </c>
      <c r="F26" s="243">
        <f>SUM('GF-Admin &amp; Plng'!F21+'GF-NonDep''t'!F16+'GF-Public Safety'!F23)+356</f>
        <v>32810</v>
      </c>
      <c r="G26" s="243">
        <f>SUM('GF-Admin &amp; Plng'!G21+'GF-NonDep''t'!G16+'GF-Public Safety'!G23+'GF-Parks'!H18)</f>
        <v>43000</v>
      </c>
      <c r="H26" s="243">
        <f>SUM('GF-Admin &amp; Plng'!H21+'GF-NonDep''t'!H16+'GF-Public Safety'!H23+'GF-Parks'!H18)</f>
        <v>43000</v>
      </c>
      <c r="I26" s="259"/>
      <c r="J26" s="54">
        <f t="shared" si="3"/>
        <v>0</v>
      </c>
      <c r="K26" s="54">
        <f t="shared" si="4"/>
        <v>0</v>
      </c>
    </row>
    <row r="27" spans="1:15" ht="16.5">
      <c r="A27" s="238"/>
      <c r="B27" s="238"/>
      <c r="C27" s="236"/>
      <c r="D27" s="54" t="s">
        <v>495</v>
      </c>
      <c r="E27" s="54">
        <v>0</v>
      </c>
      <c r="F27" s="243">
        <v>0</v>
      </c>
      <c r="G27" s="243">
        <f>'GF-NonDep''t'!G17</f>
        <v>5000</v>
      </c>
      <c r="H27" s="243">
        <f>'GF-NonDep''t'!H17</f>
        <v>5000</v>
      </c>
      <c r="I27" s="259"/>
      <c r="J27" s="54">
        <f t="shared" ref="J27" si="5">IF($N$2="Yes",H27,0)</f>
        <v>0</v>
      </c>
      <c r="K27" s="54">
        <f t="shared" ref="K27" si="6">IF($O$2="Yes",J27,0)</f>
        <v>0</v>
      </c>
    </row>
    <row r="28" spans="1:15" ht="16.5">
      <c r="A28" s="238"/>
      <c r="B28" s="238"/>
      <c r="C28" s="236"/>
      <c r="D28" s="54" t="s">
        <v>36</v>
      </c>
      <c r="E28" s="54">
        <f>SUM('GF-Admin &amp; Plng'!E22+'GF-NonDep''t'!E19+'GF-Parks'!E19+'GF-Public Safety'!E24)</f>
        <v>12119</v>
      </c>
      <c r="F28" s="54">
        <f>SUM('GF-Admin &amp; Plng'!F22+'GF-NonDep''t'!F19+'GF-Parks'!F19+'GF-Public Safety'!F24)</f>
        <v>15</v>
      </c>
      <c r="G28" s="54">
        <f>SUM('GF-Admin &amp; Plng'!G22+'GF-NonDep''t'!G19+'GF-Parks'!G19+'GF-Public Safety'!G24)</f>
        <v>15200</v>
      </c>
      <c r="H28" s="243">
        <f>SUM(+'GF-NonDep''t'!H19+'GF-Parks'!H19+'GF-Public Safety'!H24)</f>
        <v>200</v>
      </c>
      <c r="I28" s="259"/>
      <c r="J28" s="54">
        <f t="shared" si="3"/>
        <v>0</v>
      </c>
      <c r="K28" s="54">
        <f t="shared" si="4"/>
        <v>0</v>
      </c>
    </row>
    <row r="29" spans="1:15" ht="16.5">
      <c r="A29" s="238"/>
      <c r="B29" s="238"/>
      <c r="C29" s="236"/>
      <c r="D29" s="54" t="s">
        <v>60</v>
      </c>
      <c r="E29" s="54">
        <f>SUM('GF-NonDep''t'!E20)</f>
        <v>2066</v>
      </c>
      <c r="F29" s="243">
        <f>SUM('GF-NonDep''t'!F20)</f>
        <v>2530</v>
      </c>
      <c r="G29" s="243">
        <f>SUM('GF-NonDep''t'!G20)</f>
        <v>5700</v>
      </c>
      <c r="H29" s="243">
        <f>SUM('GF-NonDep''t'!H20)</f>
        <v>5700</v>
      </c>
      <c r="I29" s="259"/>
      <c r="J29" s="54">
        <f t="shared" si="3"/>
        <v>0</v>
      </c>
      <c r="K29" s="54">
        <f t="shared" si="4"/>
        <v>0</v>
      </c>
    </row>
    <row r="30" spans="1:15" ht="16.5">
      <c r="A30" s="238"/>
      <c r="B30" s="238"/>
      <c r="C30" s="236"/>
      <c r="D30" s="54" t="s">
        <v>253</v>
      </c>
      <c r="E30" s="54">
        <f>SUM('GF-NonDep''t'!E22+'GF-Parks'!E20)</f>
        <v>65559</v>
      </c>
      <c r="F30" s="243">
        <f>SUM('GF-NonDep''t'!F22+'GF-Parks'!F20)</f>
        <v>102241</v>
      </c>
      <c r="G30" s="243">
        <f>SUM('GF-NonDep''t'!G22+'GF-Parks'!G20)</f>
        <v>31000</v>
      </c>
      <c r="H30" s="243">
        <f>SUM('GF-NonDep''t'!H22+'GF-Parks'!H20)</f>
        <v>51000</v>
      </c>
      <c r="I30" s="259"/>
      <c r="J30" s="54">
        <f t="shared" si="3"/>
        <v>0</v>
      </c>
      <c r="K30" s="54">
        <f t="shared" si="4"/>
        <v>0</v>
      </c>
    </row>
    <row r="31" spans="1:15" ht="16.5">
      <c r="A31" s="238"/>
      <c r="B31" s="238"/>
      <c r="C31" s="236"/>
      <c r="D31" s="54" t="s">
        <v>138</v>
      </c>
      <c r="E31" s="54">
        <f>SUM('GF-NonDep''t'!E24+'GF-Parks'!E21+'GF-Public Safety'!E25)</f>
        <v>17070</v>
      </c>
      <c r="F31" s="243">
        <f>SUM('GF-NonDep''t'!F24+'GF-Parks'!F21+'GF-Public Safety'!F25)</f>
        <v>12535</v>
      </c>
      <c r="G31" s="243">
        <f>SUM('GF-NonDep''t'!G24+'GF-Parks'!G21+'GF-Public Safety'!G25)</f>
        <v>20500</v>
      </c>
      <c r="H31" s="243">
        <f>SUM('GF-NonDep''t'!H24+'GF-Parks'!H21+'GF-Public Safety'!H25)</f>
        <v>20500</v>
      </c>
      <c r="I31" s="259"/>
      <c r="J31" s="54">
        <f t="shared" si="3"/>
        <v>0</v>
      </c>
      <c r="K31" s="54">
        <f t="shared" si="4"/>
        <v>0</v>
      </c>
    </row>
    <row r="32" spans="1:15" ht="16.5">
      <c r="A32" s="238"/>
      <c r="B32" s="238"/>
      <c r="C32" s="236"/>
      <c r="D32" s="54" t="s">
        <v>166</v>
      </c>
      <c r="E32" s="54">
        <f>SUM('GF-NonDep''t'!E25+'GF-Parks'!E22+'GF-Public Safety'!E26)</f>
        <v>441</v>
      </c>
      <c r="F32" s="243">
        <f>SUM('GF-NonDep''t'!F25+'GF-Parks'!F22+'GF-Public Safety'!F26)</f>
        <v>372</v>
      </c>
      <c r="G32" s="243">
        <f>SUM('GF-NonDep''t'!G25+'GF-Parks'!G22+'GF-Public Safety'!G26)</f>
        <v>5750</v>
      </c>
      <c r="H32" s="243">
        <f>SUM('GF-NonDep''t'!H25+'GF-Parks'!H22+'GF-Public Safety'!H26)</f>
        <v>5750</v>
      </c>
      <c r="I32" s="259"/>
      <c r="J32" s="54">
        <f t="shared" si="3"/>
        <v>0</v>
      </c>
      <c r="K32" s="54">
        <f t="shared" si="4"/>
        <v>0</v>
      </c>
    </row>
    <row r="33" spans="1:11" ht="16.5">
      <c r="A33" s="238"/>
      <c r="B33" s="238"/>
      <c r="C33" s="236"/>
      <c r="D33" s="54" t="s">
        <v>210</v>
      </c>
      <c r="E33" s="54">
        <f>SUM('GF-Parks'!E23)</f>
        <v>0</v>
      </c>
      <c r="F33" s="243">
        <f>SUM('GF-Parks'!F23)</f>
        <v>0</v>
      </c>
      <c r="G33" s="243">
        <f>SUM('GF-Parks'!G23)</f>
        <v>800</v>
      </c>
      <c r="H33" s="243">
        <f>SUM('GF-Parks'!H23)</f>
        <v>800</v>
      </c>
      <c r="I33" s="259"/>
      <c r="J33" s="54">
        <f t="shared" si="3"/>
        <v>0</v>
      </c>
      <c r="K33" s="54">
        <f t="shared" si="4"/>
        <v>0</v>
      </c>
    </row>
    <row r="34" spans="1:11" ht="16.5">
      <c r="A34" s="238"/>
      <c r="B34" s="238"/>
      <c r="C34" s="236"/>
      <c r="D34" s="54" t="s">
        <v>311</v>
      </c>
      <c r="E34" s="54">
        <f>SUM('GF-NonDep''t'!E26+'GF-Parks'!E24+'GF-Public Safety'!E27)</f>
        <v>697</v>
      </c>
      <c r="F34" s="243">
        <f>SUM('GF-NonDep''t'!F26+'GF-Parks'!F24+'GF-Public Safety'!F27)</f>
        <v>1909</v>
      </c>
      <c r="G34" s="243">
        <f>SUM('GF-NonDep''t'!G26+'GF-Parks'!G24+'GF-Public Safety'!G27)</f>
        <v>700</v>
      </c>
      <c r="H34" s="243">
        <f>SUM('GF-NonDep''t'!H26+'GF-Parks'!H24+'GF-Public Safety'!H27)</f>
        <v>700</v>
      </c>
      <c r="I34" s="259"/>
      <c r="J34" s="54">
        <f t="shared" si="3"/>
        <v>0</v>
      </c>
      <c r="K34" s="54">
        <f t="shared" si="4"/>
        <v>0</v>
      </c>
    </row>
    <row r="35" spans="1:11" ht="16.5">
      <c r="A35" s="238"/>
      <c r="B35" s="238"/>
      <c r="C35" s="236"/>
      <c r="D35" s="54" t="s">
        <v>301</v>
      </c>
      <c r="E35" s="54">
        <f>SUM('GF-NonDep''t'!E28+'GF-Parks'!E26)</f>
        <v>3663</v>
      </c>
      <c r="F35" s="243">
        <f>SUM('GF-NonDep''t'!F28+'GF-Parks'!F26)</f>
        <v>1733</v>
      </c>
      <c r="G35" s="243">
        <f>SUM('GF-NonDep''t'!G28+'GF-Parks'!G26)</f>
        <v>1400</v>
      </c>
      <c r="H35" s="243">
        <f>SUM('GF-NonDep''t'!H28+'GF-Parks'!H26)</f>
        <v>1400</v>
      </c>
      <c r="I35" s="259"/>
      <c r="J35" s="54">
        <f t="shared" si="3"/>
        <v>0</v>
      </c>
      <c r="K35" s="54">
        <f t="shared" si="4"/>
        <v>0</v>
      </c>
    </row>
    <row r="36" spans="1:11" ht="16.5">
      <c r="A36" s="238"/>
      <c r="B36" s="238"/>
      <c r="C36" s="236"/>
      <c r="D36" s="54" t="s">
        <v>62</v>
      </c>
      <c r="E36" s="54">
        <f>SUM('GF-NonDep''t'!E27+'GF-Parks'!E25+'GF-Public Safety'!E28)</f>
        <v>490</v>
      </c>
      <c r="F36" s="243">
        <f>SUM('GF-NonDep''t'!F27+'GF-Parks'!F25+'GF-Public Safety'!F28)</f>
        <v>711</v>
      </c>
      <c r="G36" s="243">
        <f>SUM('GF-NonDep''t'!G27+'GF-Parks'!G25+'GF-Public Safety'!G28)</f>
        <v>900</v>
      </c>
      <c r="H36" s="243">
        <f>SUM('GF-NonDep''t'!H27+'GF-Parks'!H25+'GF-Public Safety'!H28)</f>
        <v>900</v>
      </c>
      <c r="I36" s="259"/>
      <c r="J36" s="54">
        <f t="shared" si="3"/>
        <v>0</v>
      </c>
      <c r="K36" s="54">
        <f t="shared" si="4"/>
        <v>0</v>
      </c>
    </row>
    <row r="37" spans="1:11" ht="16.5">
      <c r="A37" s="238"/>
      <c r="B37" s="238"/>
      <c r="C37" s="236"/>
      <c r="D37" s="54" t="s">
        <v>63</v>
      </c>
      <c r="E37" s="54">
        <f>SUM('GF-NonDep''t'!E29)</f>
        <v>7591</v>
      </c>
      <c r="F37" s="243">
        <f>SUM('GF-NonDep''t'!F29)</f>
        <v>4249</v>
      </c>
      <c r="G37" s="243">
        <f>SUM('GF-NonDep''t'!G29)</f>
        <v>2500</v>
      </c>
      <c r="H37" s="243">
        <f>SUM('GF-NonDep''t'!H29)</f>
        <v>2500</v>
      </c>
      <c r="I37" s="259"/>
      <c r="J37" s="54">
        <f t="shared" si="3"/>
        <v>0</v>
      </c>
      <c r="K37" s="54">
        <f t="shared" si="4"/>
        <v>0</v>
      </c>
    </row>
    <row r="38" spans="1:11" ht="16.5">
      <c r="A38" s="238"/>
      <c r="B38" s="238"/>
      <c r="C38" s="236"/>
      <c r="D38" s="54" t="s">
        <v>141</v>
      </c>
      <c r="E38" s="54">
        <f>SUM('GF-Admin &amp; Plng'!E23+'GF-NonDep''t'!E30+'GF-Parks'!E27)</f>
        <v>32892</v>
      </c>
      <c r="F38" s="243">
        <f>SUM('GF-Admin &amp; Plng'!F23+'GF-NonDep''t'!F30+'GF-Parks'!F27)</f>
        <v>4655</v>
      </c>
      <c r="G38" s="243">
        <f>SUM('GF-Admin &amp; Plng'!G23+'GF-NonDep''t'!G30+'GF-Parks'!G27)</f>
        <v>30500</v>
      </c>
      <c r="H38" s="243">
        <f>SUM('GF-Admin &amp; Plng'!H23+'GF-NonDep''t'!H30+'GF-Parks'!H27)</f>
        <v>30500</v>
      </c>
      <c r="I38" s="259"/>
      <c r="J38" s="54">
        <f t="shared" si="3"/>
        <v>0</v>
      </c>
      <c r="K38" s="54">
        <f t="shared" si="4"/>
        <v>0</v>
      </c>
    </row>
    <row r="39" spans="1:11" ht="16.5">
      <c r="A39" s="238"/>
      <c r="B39" s="238"/>
      <c r="C39" s="236"/>
      <c r="D39" s="54" t="s">
        <v>23</v>
      </c>
      <c r="E39" s="54">
        <f>SUM('GF-Admin &amp; Plng'!E24+'GF-NonDep''t'!E31+'GF-Parks'!E28+'GF-Public Safety'!E29)</f>
        <v>25506</v>
      </c>
      <c r="F39" s="54">
        <f>SUM('GF-Admin &amp; Plng'!F24+'GF-NonDep''t'!F31+'GF-Parks'!F28+'GF-Public Safety'!F29)</f>
        <v>25316</v>
      </c>
      <c r="G39" s="54">
        <f>SUM('GF-Admin &amp; Plng'!G24+'GF-NonDep''t'!G31+'GF-Parks'!G28+'GF-Public Safety'!G29)</f>
        <v>29150</v>
      </c>
      <c r="H39" s="243">
        <f>SUM('GF-Admin &amp; Plng'!H24+'GF-NonDep''t'!H31+'GF-Parks'!H28+'GF-Public Safety'!H29)</f>
        <v>29150</v>
      </c>
      <c r="I39" s="259"/>
      <c r="J39" s="54">
        <f t="shared" si="3"/>
        <v>0</v>
      </c>
      <c r="K39" s="54">
        <f t="shared" si="4"/>
        <v>0</v>
      </c>
    </row>
    <row r="40" spans="1:11" ht="16.5" hidden="1">
      <c r="A40" s="238"/>
      <c r="B40" s="238"/>
      <c r="C40" s="236"/>
      <c r="D40" s="54" t="s">
        <v>139</v>
      </c>
      <c r="E40" s="54">
        <f>SUM('GF-NonDep''t'!E32+'GF-Public Safety'!E30)</f>
        <v>0</v>
      </c>
      <c r="F40" s="243">
        <f>SUM('GF-NonDep''t'!F32+'GF-Public Safety'!F30)</f>
        <v>0</v>
      </c>
      <c r="G40" s="243">
        <f>SUM('GF-NonDep''t'!G32+'GF-Public Safety'!G30)</f>
        <v>0</v>
      </c>
      <c r="H40" s="243">
        <f>SUM('GF-NonDep''t'!H32+'GF-Public Safety'!H30)</f>
        <v>0</v>
      </c>
      <c r="I40" s="259"/>
      <c r="J40" s="54">
        <f t="shared" si="3"/>
        <v>0</v>
      </c>
      <c r="K40" s="54">
        <f t="shared" si="4"/>
        <v>0</v>
      </c>
    </row>
    <row r="41" spans="1:11" ht="16.5">
      <c r="A41" s="238"/>
      <c r="B41" s="238"/>
      <c r="C41" s="236"/>
      <c r="D41" s="54" t="s">
        <v>137</v>
      </c>
      <c r="E41" s="54">
        <f>SUM('GF-Parks'!E34)</f>
        <v>205</v>
      </c>
      <c r="F41" s="243">
        <f>SUM('GF-Parks'!F34)</f>
        <v>0</v>
      </c>
      <c r="G41" s="243">
        <f>SUM('GF-Parks'!G34)</f>
        <v>1500</v>
      </c>
      <c r="H41" s="243">
        <f>SUM('GF-Parks'!H34)</f>
        <v>1500</v>
      </c>
      <c r="I41" s="259"/>
      <c r="J41" s="54">
        <f t="shared" si="3"/>
        <v>0</v>
      </c>
      <c r="K41" s="54">
        <f t="shared" si="4"/>
        <v>0</v>
      </c>
    </row>
    <row r="42" spans="1:11" ht="16.5">
      <c r="A42" s="238"/>
      <c r="B42" s="238"/>
      <c r="C42" s="236"/>
      <c r="D42" s="54" t="s">
        <v>37</v>
      </c>
      <c r="E42" s="54">
        <f>SUM('GF-NonDep''t'!E33+'GF-Parks'!E29+'GF-Public Safety'!E31)</f>
        <v>4702</v>
      </c>
      <c r="F42" s="243">
        <f>SUM('GF-NonDep''t'!F33+'GF-Parks'!F29+'GF-Public Safety'!F31)</f>
        <v>4407</v>
      </c>
      <c r="G42" s="243">
        <f>SUM('GF-NonDep''t'!G33+'GF-Parks'!G29+'GF-Public Safety'!G31)</f>
        <v>5350</v>
      </c>
      <c r="H42" s="243">
        <f>SUM('GF-NonDep''t'!H33+'GF-Parks'!H29+'GF-Public Safety'!H31)</f>
        <v>5350</v>
      </c>
      <c r="I42" s="259"/>
      <c r="J42" s="54">
        <f t="shared" si="3"/>
        <v>0</v>
      </c>
      <c r="K42" s="54">
        <f t="shared" si="4"/>
        <v>0</v>
      </c>
    </row>
    <row r="43" spans="1:11" ht="16.5">
      <c r="A43" s="238"/>
      <c r="B43" s="238"/>
      <c r="C43" s="236"/>
      <c r="D43" s="54" t="s">
        <v>38</v>
      </c>
      <c r="E43" s="54">
        <f>SUM('GF-NonDep''t'!E35+'GF-Public Safety'!E32)</f>
        <v>1538</v>
      </c>
      <c r="F43" s="243">
        <f>SUM('GF-NonDep''t'!F35+'GF-Public Safety'!F32)</f>
        <v>3133</v>
      </c>
      <c r="G43" s="243">
        <f>SUM('GF-NonDep''t'!G35+'GF-Public Safety'!G32)</f>
        <v>2500</v>
      </c>
      <c r="H43" s="243">
        <f>SUM('GF-NonDep''t'!H35+'GF-Public Safety'!H32)</f>
        <v>2500</v>
      </c>
      <c r="I43" s="259"/>
      <c r="J43" s="54">
        <f t="shared" si="3"/>
        <v>0</v>
      </c>
      <c r="K43" s="54">
        <f t="shared" si="4"/>
        <v>0</v>
      </c>
    </row>
    <row r="44" spans="1:11" ht="16.5">
      <c r="A44" s="238"/>
      <c r="B44" s="238"/>
      <c r="C44" s="236"/>
      <c r="D44" s="54" t="s">
        <v>66</v>
      </c>
      <c r="E44" s="54">
        <f>SUM('GF-NonDep''t'!E36)</f>
        <v>23200</v>
      </c>
      <c r="F44" s="243">
        <f>SUM('GF-NonDep''t'!F36)</f>
        <v>11860</v>
      </c>
      <c r="G44" s="243">
        <f>SUM('GF-NonDep''t'!G36)</f>
        <v>22200</v>
      </c>
      <c r="H44" s="243">
        <f>SUM('GF-NonDep''t'!H36)</f>
        <v>22200</v>
      </c>
      <c r="I44" s="259"/>
      <c r="J44" s="54">
        <f t="shared" si="3"/>
        <v>0</v>
      </c>
      <c r="K44" s="54">
        <f t="shared" si="4"/>
        <v>0</v>
      </c>
    </row>
    <row r="45" spans="1:11" ht="16.5">
      <c r="A45" s="238"/>
      <c r="B45" s="238"/>
      <c r="C45" s="236"/>
      <c r="D45" s="54" t="s">
        <v>470</v>
      </c>
      <c r="E45" s="54">
        <f>'GF-NonDep''t'!E37</f>
        <v>4668</v>
      </c>
      <c r="F45" s="243">
        <f>'GF-NonDep''t'!F37</f>
        <v>4729</v>
      </c>
      <c r="G45" s="243">
        <f>'GF-NonDep''t'!G37</f>
        <v>4600</v>
      </c>
      <c r="H45" s="243">
        <f>'GF-NonDep''t'!H37</f>
        <v>4600</v>
      </c>
      <c r="I45" s="259"/>
      <c r="J45" s="54">
        <f t="shared" ref="J45" si="7">IF($N$2="Yes",H45,0)</f>
        <v>0</v>
      </c>
      <c r="K45" s="54">
        <f t="shared" ref="K45" si="8">IF($O$2="Yes",J45,0)</f>
        <v>0</v>
      </c>
    </row>
    <row r="46" spans="1:11" ht="16.5">
      <c r="A46" s="238"/>
      <c r="B46" s="238"/>
      <c r="C46" s="236"/>
      <c r="D46" s="54" t="s">
        <v>39</v>
      </c>
      <c r="E46" s="54">
        <f>SUM('GF-Admin &amp; Plng'!E27+'GF-NonDep''t'!E38+'GF-Parks'!E30+'GF-Public Safety'!E33)</f>
        <v>2587</v>
      </c>
      <c r="F46" s="54">
        <f>SUM('GF-Admin &amp; Plng'!F27+'GF-NonDep''t'!F38+'GF-Parks'!F30+'GF-Public Safety'!F33)</f>
        <v>0</v>
      </c>
      <c r="G46" s="54">
        <f>SUM('GF-Admin &amp; Plng'!G27+'GF-NonDep''t'!G38+'GF-Parks'!G30+'GF-Public Safety'!G33)</f>
        <v>1325</v>
      </c>
      <c r="H46" s="243">
        <f>SUM('GF-Admin &amp; Plng'!H27+'GF-NonDep''t'!H38+'GF-Parks'!H30+'GF-Public Safety'!H33)</f>
        <v>1325</v>
      </c>
      <c r="I46" s="259"/>
      <c r="J46" s="54">
        <f t="shared" si="3"/>
        <v>0</v>
      </c>
      <c r="K46" s="54">
        <f t="shared" si="4"/>
        <v>0</v>
      </c>
    </row>
    <row r="47" spans="1:11" ht="16.5" hidden="1">
      <c r="A47" s="238"/>
      <c r="B47" s="238"/>
      <c r="C47" s="236"/>
      <c r="D47" s="54" t="s">
        <v>67</v>
      </c>
      <c r="E47" s="54">
        <f>SUM('GF-NonDep''t'!E39)</f>
        <v>0</v>
      </c>
      <c r="F47" s="243">
        <f>SUM('GF-NonDep''t'!F39)</f>
        <v>0</v>
      </c>
      <c r="G47" s="243">
        <f>SUM('GF-NonDep''t'!G39)</f>
        <v>0</v>
      </c>
      <c r="H47" s="243">
        <f>SUM('GF-NonDep''t'!H39)</f>
        <v>0</v>
      </c>
      <c r="I47" s="259"/>
      <c r="J47" s="54">
        <f t="shared" si="3"/>
        <v>0</v>
      </c>
      <c r="K47" s="54">
        <f t="shared" si="4"/>
        <v>0</v>
      </c>
    </row>
    <row r="48" spans="1:11" ht="16.5">
      <c r="A48" s="238"/>
      <c r="B48" s="238"/>
      <c r="C48" s="236"/>
      <c r="D48" s="54" t="s">
        <v>254</v>
      </c>
      <c r="E48" s="54">
        <f>SUM('GF-NonDep''t'!E34)</f>
        <v>6226</v>
      </c>
      <c r="F48" s="243">
        <f>SUM('GF-NonDep''t'!F34)</f>
        <v>6767</v>
      </c>
      <c r="G48" s="243">
        <f>SUM('GF-NonDep''t'!G34)</f>
        <v>6150</v>
      </c>
      <c r="H48" s="243">
        <f>SUM('GF-NonDep''t'!H34)</f>
        <v>6150</v>
      </c>
      <c r="I48" s="259"/>
      <c r="J48" s="54">
        <f t="shared" si="3"/>
        <v>0</v>
      </c>
      <c r="K48" s="54">
        <f t="shared" si="4"/>
        <v>0</v>
      </c>
    </row>
    <row r="49" spans="1:15" ht="16.5">
      <c r="A49" s="238"/>
      <c r="B49" s="238"/>
      <c r="C49" s="236"/>
      <c r="D49" s="54" t="s">
        <v>41</v>
      </c>
      <c r="E49" s="54">
        <f>SUM('GF-NonDep''t'!E40+'GF-Public Safety'!E34)</f>
        <v>0</v>
      </c>
      <c r="F49" s="243">
        <f>SUM('GF-NonDep''t'!F40+'GF-Public Safety'!F34)</f>
        <v>0</v>
      </c>
      <c r="G49" s="243">
        <f>SUM('GF-NonDep''t'!G40+'GF-Public Safety'!G34)</f>
        <v>1000</v>
      </c>
      <c r="H49" s="243">
        <f>SUM('GF-NonDep''t'!H40+'GF-Public Safety'!H34)</f>
        <v>1000</v>
      </c>
      <c r="I49" s="259"/>
      <c r="J49" s="54">
        <f t="shared" si="3"/>
        <v>0</v>
      </c>
      <c r="K49" s="54">
        <f t="shared" si="4"/>
        <v>0</v>
      </c>
    </row>
    <row r="50" spans="1:15" ht="16.5">
      <c r="A50" s="238"/>
      <c r="B50" s="238"/>
      <c r="C50" s="236"/>
      <c r="D50" s="54" t="s">
        <v>209</v>
      </c>
      <c r="E50" s="54">
        <f>SUM('GF-NonDep''t'!E41)</f>
        <v>2333</v>
      </c>
      <c r="F50" s="243">
        <f>SUM('GF-NonDep''t'!F41)</f>
        <v>5578</v>
      </c>
      <c r="G50" s="243">
        <f>SUM('GF-NonDep''t'!G41)</f>
        <v>4824</v>
      </c>
      <c r="H50" s="243">
        <f>SUM('GF-NonDep''t'!H41)</f>
        <v>4824</v>
      </c>
      <c r="I50" s="259"/>
      <c r="J50" s="54">
        <f t="shared" si="3"/>
        <v>0</v>
      </c>
      <c r="K50" s="54">
        <f t="shared" si="4"/>
        <v>0</v>
      </c>
    </row>
    <row r="51" spans="1:15">
      <c r="A51" s="238"/>
      <c r="B51" s="238"/>
      <c r="C51" s="236"/>
      <c r="D51" s="54" t="s">
        <v>40</v>
      </c>
      <c r="E51" s="54">
        <f>SUM('GF-Admin &amp; Plng'!E28+'GF-NonDep''t'!E42+'GF-Parks'!E31+'GF-Public Safety'!E35)</f>
        <v>258</v>
      </c>
      <c r="F51" s="54">
        <f>SUM('GF-Admin &amp; Plng'!F28+'GF-NonDep''t'!F42+'GF-Parks'!F31+'GF-Public Safety'!F35)</f>
        <v>305</v>
      </c>
      <c r="G51" s="54">
        <f>SUM('GF-Admin &amp; Plng'!G28+'GF-NonDep''t'!G42+'GF-Parks'!G31+'GF-Public Safety'!G35)</f>
        <v>12750</v>
      </c>
      <c r="H51" s="243">
        <f>SUM('GF-Admin &amp; Plng'!H28+'GF-NonDep''t'!H42+'GF-Parks'!H31+'GF-Public Safety'!H35)</f>
        <v>12750</v>
      </c>
      <c r="J51" s="54">
        <f t="shared" si="3"/>
        <v>0</v>
      </c>
      <c r="K51" s="54">
        <f t="shared" si="4"/>
        <v>0</v>
      </c>
    </row>
    <row r="52" spans="1:15" hidden="1">
      <c r="A52" s="238"/>
      <c r="B52" s="238"/>
      <c r="C52" s="236"/>
      <c r="D52" s="54" t="s">
        <v>170</v>
      </c>
      <c r="E52" s="54">
        <f>SUM('GF-Public Safety'!E36)</f>
        <v>0</v>
      </c>
      <c r="F52" s="243">
        <f>SUM('GF-Public Safety'!F36)</f>
        <v>0</v>
      </c>
      <c r="G52" s="243">
        <f>SUM('GF-Public Safety'!G36)</f>
        <v>0</v>
      </c>
      <c r="H52" s="243">
        <f>SUM('GF-Public Safety'!H36)</f>
        <v>0</v>
      </c>
      <c r="J52" s="54">
        <f t="shared" si="3"/>
        <v>0</v>
      </c>
      <c r="K52" s="54">
        <f t="shared" si="4"/>
        <v>0</v>
      </c>
    </row>
    <row r="53" spans="1:15" ht="16.5">
      <c r="A53" s="238"/>
      <c r="B53" s="238"/>
      <c r="C53" s="236"/>
      <c r="D53" s="54" t="s">
        <v>151</v>
      </c>
      <c r="E53" s="54">
        <f>SUM('GF-NonDep''t'!E43+'GF-Parks'!E32)</f>
        <v>7967</v>
      </c>
      <c r="F53" s="243">
        <f>SUM('GF-NonDep''t'!F43+'GF-Parks'!F32)</f>
        <v>7853</v>
      </c>
      <c r="G53" s="243">
        <f>SUM('GF-NonDep''t'!G43+'GF-Parks'!G32)</f>
        <v>11000</v>
      </c>
      <c r="H53" s="243">
        <f>SUM('GF-NonDep''t'!H43+'GF-Parks'!H32)</f>
        <v>11000</v>
      </c>
      <c r="I53" s="41">
        <v>1</v>
      </c>
      <c r="J53" s="54">
        <f t="shared" si="3"/>
        <v>0</v>
      </c>
      <c r="K53" s="54">
        <f t="shared" si="4"/>
        <v>0</v>
      </c>
    </row>
    <row r="54" spans="1:15">
      <c r="A54" s="238"/>
      <c r="B54" s="238"/>
      <c r="C54" s="236"/>
      <c r="D54" s="54" t="s">
        <v>142</v>
      </c>
      <c r="E54" s="268">
        <f>SUM('GF-NonDep''t'!E45+'GF-Parks'!E33+'GF-Public Safety'!E37)</f>
        <v>1520</v>
      </c>
      <c r="F54" s="843">
        <f>SUM('GF-NonDep''t'!F45+'GF-Parks'!F33+'GF-Public Safety'!F37)</f>
        <v>40920</v>
      </c>
      <c r="G54" s="843">
        <f>SUM('GF-NonDep''t'!G45+'GF-Parks'!G33+'GF-Public Safety'!G37)</f>
        <v>6000</v>
      </c>
      <c r="H54" s="843">
        <f>SUM('GF-NonDep''t'!H45+'GF-Parks'!H33+'GF-Public Safety'!H37)</f>
        <v>6000</v>
      </c>
      <c r="J54" s="268">
        <f t="shared" si="3"/>
        <v>0</v>
      </c>
      <c r="K54" s="268">
        <f t="shared" si="4"/>
        <v>0</v>
      </c>
    </row>
    <row r="55" spans="1:15" ht="16.5" hidden="1">
      <c r="A55" s="238"/>
      <c r="B55" s="238"/>
      <c r="C55" s="236"/>
      <c r="D55" s="54" t="s">
        <v>169</v>
      </c>
      <c r="E55" s="268">
        <f>SUM('GF-Public Safety'!E38)</f>
        <v>0</v>
      </c>
      <c r="F55" s="843">
        <f>SUM('GF-Public Safety'!F38)</f>
        <v>0</v>
      </c>
      <c r="G55" s="843">
        <f>SUM('GF-Public Safety'!G38)</f>
        <v>0</v>
      </c>
      <c r="H55" s="843">
        <f>SUM('GF-Public Safety'!H38)</f>
        <v>0</v>
      </c>
      <c r="I55" s="269"/>
      <c r="J55" s="268">
        <f t="shared" si="3"/>
        <v>0</v>
      </c>
      <c r="K55" s="268">
        <f t="shared" si="4"/>
        <v>0</v>
      </c>
    </row>
    <row r="56" spans="1:15" ht="15">
      <c r="A56" s="238"/>
      <c r="B56" s="238"/>
      <c r="C56" s="236"/>
      <c r="D56" s="260" t="s">
        <v>42</v>
      </c>
      <c r="E56" s="270">
        <f>SUM(E19:E55)</f>
        <v>265998</v>
      </c>
      <c r="F56" s="270">
        <f>SUM(F19:F55)</f>
        <v>285677</v>
      </c>
      <c r="G56" s="270">
        <f>SUM(G19:G55)</f>
        <v>276749</v>
      </c>
      <c r="H56" s="270">
        <f>SUM(H19:H55)</f>
        <v>296749</v>
      </c>
      <c r="I56" s="267"/>
      <c r="J56" s="270">
        <f t="shared" ref="J56:K56" si="9">SUM(J19:J55)</f>
        <v>0</v>
      </c>
      <c r="K56" s="270">
        <f t="shared" si="9"/>
        <v>0</v>
      </c>
    </row>
    <row r="57" spans="1:15" ht="10.15" customHeight="1">
      <c r="A57" s="238"/>
      <c r="B57" s="238"/>
      <c r="C57" s="236"/>
      <c r="E57" s="54"/>
      <c r="F57" s="243"/>
      <c r="G57" s="243"/>
      <c r="H57" s="243"/>
      <c r="I57" s="259"/>
      <c r="L57" s="257"/>
      <c r="M57" s="257"/>
      <c r="N57" s="257"/>
      <c r="O57" s="257"/>
    </row>
    <row r="58" spans="1:15" ht="17.25">
      <c r="A58" s="238"/>
      <c r="B58" s="238"/>
      <c r="C58" s="236"/>
      <c r="D58" s="260" t="s">
        <v>100</v>
      </c>
      <c r="E58" s="267"/>
      <c r="F58" s="267"/>
      <c r="G58" s="243"/>
      <c r="H58" s="243"/>
      <c r="I58" s="259"/>
    </row>
    <row r="59" spans="1:15" ht="16.5">
      <c r="A59" s="238"/>
      <c r="B59" s="238"/>
      <c r="C59" s="236"/>
      <c r="D59" s="54" t="s">
        <v>146</v>
      </c>
      <c r="E59" s="268">
        <f>SUM('GF-NonDep''t'!E53+'GF-Parks'!E40+'GF-Public Safety'!E43)</f>
        <v>772476</v>
      </c>
      <c r="F59" s="268">
        <f>SUM('GF-NonDep''t'!F53+'GF-Parks'!F40+'GF-Public Safety'!F43)</f>
        <v>17602</v>
      </c>
      <c r="G59" s="268">
        <f>SUM('GF-NonDep''t'!G53+'GF-Parks'!G40+'GF-Public Safety'!G43)</f>
        <v>10000</v>
      </c>
      <c r="H59" s="268">
        <f>SUM('GF-NonDep''t'!H53+'GF-Parks'!H40+'GF-Public Safety'!H43)</f>
        <v>740000</v>
      </c>
      <c r="I59" s="259"/>
      <c r="J59" s="268">
        <f t="shared" ref="J59:J63" si="10">IF($N$2="Yes",H59,0)</f>
        <v>0</v>
      </c>
      <c r="K59" s="268">
        <f t="shared" ref="K59:K63" si="11">IF($O$2="Yes",J59,0)</f>
        <v>0</v>
      </c>
    </row>
    <row r="60" spans="1:15" ht="16.5" hidden="1">
      <c r="A60" s="238"/>
      <c r="B60" s="238"/>
      <c r="C60" s="236"/>
      <c r="D60" s="54" t="s">
        <v>156</v>
      </c>
      <c r="E60" s="54">
        <f>SUM('GF-NonDep''t'!F49+'GF-Parks'!E41+'GF-Public Safety'!E43)</f>
        <v>145</v>
      </c>
      <c r="F60" s="243">
        <f>SUM('GF-NonDep''t'!G49+'GF-Parks'!F41+'GF-Public Safety'!F43)</f>
        <v>10000</v>
      </c>
      <c r="G60" s="243">
        <f>SUM('GF-NonDep''t'!G49+'GF-Parks'!G41+'GF-Public Safety'!G43)</f>
        <v>10000</v>
      </c>
      <c r="H60" s="243">
        <f>SUM('GF-NonDep''t'!I49+'GF-Parks'!H41+'GF-Public Safety'!H43)</f>
        <v>0</v>
      </c>
      <c r="I60" s="259"/>
      <c r="J60" s="54">
        <f t="shared" si="10"/>
        <v>0</v>
      </c>
      <c r="K60" s="54">
        <f t="shared" si="11"/>
        <v>0</v>
      </c>
    </row>
    <row r="61" spans="1:15" ht="16.5" hidden="1">
      <c r="A61" s="238"/>
      <c r="B61" s="238"/>
      <c r="C61" s="236"/>
      <c r="D61" s="54" t="s">
        <v>74</v>
      </c>
      <c r="E61" s="268">
        <f>SUM('GF-Parks'!E38)</f>
        <v>0</v>
      </c>
      <c r="F61" s="843">
        <f>SUM('GF-Parks'!F38)</f>
        <v>0</v>
      </c>
      <c r="G61" s="843">
        <f>SUM('GF-Parks'!G38)</f>
        <v>0</v>
      </c>
      <c r="H61" s="843">
        <f>SUM('GF-Parks'!H38)</f>
        <v>0</v>
      </c>
      <c r="I61" s="259"/>
      <c r="J61" s="268">
        <f t="shared" si="10"/>
        <v>0</v>
      </c>
      <c r="K61" s="268">
        <f t="shared" si="11"/>
        <v>0</v>
      </c>
    </row>
    <row r="62" spans="1:15" ht="16.5" hidden="1">
      <c r="A62" s="238"/>
      <c r="B62" s="238"/>
      <c r="C62" s="236"/>
      <c r="D62" s="54" t="s">
        <v>75</v>
      </c>
      <c r="E62" s="54">
        <f>SUM('GF-Parks'!E39)</f>
        <v>0</v>
      </c>
      <c r="F62" s="243">
        <f>SUM('GF-Parks'!F39)</f>
        <v>0</v>
      </c>
      <c r="G62" s="243">
        <f>SUM('GF-Parks'!G39)</f>
        <v>0</v>
      </c>
      <c r="H62" s="243">
        <f>SUM('GF-Parks'!H39)</f>
        <v>0</v>
      </c>
      <c r="I62" s="259"/>
      <c r="J62" s="54">
        <f t="shared" si="10"/>
        <v>0</v>
      </c>
      <c r="K62" s="54">
        <f t="shared" si="11"/>
        <v>0</v>
      </c>
    </row>
    <row r="63" spans="1:15" ht="16.5" hidden="1">
      <c r="A63" s="238"/>
      <c r="B63" s="238"/>
      <c r="C63" s="236"/>
      <c r="D63" s="54" t="s">
        <v>157</v>
      </c>
      <c r="E63" s="271">
        <f>SUM('GF-Public Safety'!E44)</f>
        <v>0</v>
      </c>
      <c r="F63" s="271">
        <f>SUM('GF-Public Safety'!F44)</f>
        <v>0</v>
      </c>
      <c r="G63" s="271">
        <f>SUM('GF-Public Safety'!G44)</f>
        <v>0</v>
      </c>
      <c r="H63" s="271">
        <f>SUM('GF-Public Safety'!H44)</f>
        <v>0</v>
      </c>
      <c r="I63" s="272"/>
      <c r="J63" s="271">
        <f t="shared" si="10"/>
        <v>0</v>
      </c>
      <c r="K63" s="271">
        <f t="shared" si="11"/>
        <v>0</v>
      </c>
    </row>
    <row r="64" spans="1:15" ht="15">
      <c r="A64" s="238"/>
      <c r="B64" s="238"/>
      <c r="C64" s="236"/>
      <c r="D64" s="260" t="s">
        <v>55</v>
      </c>
      <c r="E64" s="270">
        <f>SUM(E59:E63)</f>
        <v>772621</v>
      </c>
      <c r="F64" s="270">
        <f>SUM(F59:F63)</f>
        <v>27602</v>
      </c>
      <c r="G64" s="270">
        <f>SUM(G59:G63)</f>
        <v>20000</v>
      </c>
      <c r="H64" s="270">
        <f>SUM(H59:H63)</f>
        <v>740000</v>
      </c>
      <c r="I64" s="267"/>
      <c r="J64" s="270">
        <f t="shared" ref="J64:K64" si="12">SUM(J59:J63)</f>
        <v>0</v>
      </c>
      <c r="K64" s="270">
        <f t="shared" si="12"/>
        <v>0</v>
      </c>
    </row>
    <row r="65" spans="1:15" ht="10.15" customHeight="1">
      <c r="A65" s="238"/>
      <c r="B65" s="238"/>
      <c r="C65" s="236"/>
      <c r="E65" s="54"/>
      <c r="F65" s="243"/>
      <c r="G65" s="243"/>
      <c r="H65" s="243"/>
      <c r="I65" s="259"/>
      <c r="L65" s="257"/>
      <c r="M65" s="257"/>
      <c r="N65" s="257"/>
      <c r="O65" s="257"/>
    </row>
    <row r="66" spans="1:15" s="260" customFormat="1" ht="17.25">
      <c r="A66" s="273"/>
      <c r="B66" s="273"/>
      <c r="C66" s="274"/>
      <c r="D66" s="260" t="s">
        <v>191</v>
      </c>
      <c r="F66" s="844"/>
      <c r="G66" s="844"/>
      <c r="H66" s="844"/>
      <c r="I66" s="645"/>
      <c r="L66" s="646"/>
      <c r="M66" s="646"/>
      <c r="N66" s="646"/>
      <c r="O66" s="646"/>
    </row>
    <row r="67" spans="1:15" ht="16.5">
      <c r="A67" s="238"/>
      <c r="B67" s="238"/>
      <c r="C67" s="236"/>
      <c r="D67" s="54" t="s">
        <v>386</v>
      </c>
      <c r="E67" s="268">
        <v>0</v>
      </c>
      <c r="F67" s="843">
        <v>0</v>
      </c>
      <c r="G67" s="843">
        <f>'GF-NonDep''t'!G63</f>
        <v>22254</v>
      </c>
      <c r="H67" s="843">
        <f>'GF-NonDep''t'!H63</f>
        <v>22254</v>
      </c>
      <c r="I67" s="259"/>
      <c r="J67" s="268">
        <f t="shared" ref="J67" si="13">IF($N$2="Yes",H67,0)</f>
        <v>0</v>
      </c>
      <c r="K67" s="268">
        <f t="shared" ref="K67" si="14">IF($O$2="Yes",J67,0)</f>
        <v>0</v>
      </c>
      <c r="L67" s="257"/>
      <c r="M67" s="257"/>
      <c r="N67" s="257"/>
      <c r="O67" s="257"/>
    </row>
    <row r="68" spans="1:15" s="260" customFormat="1" ht="17.25">
      <c r="A68" s="273"/>
      <c r="B68" s="273"/>
      <c r="C68" s="274"/>
      <c r="D68" s="260" t="s">
        <v>125</v>
      </c>
      <c r="E68" s="260">
        <f t="shared" ref="E68" si="15">SUM(E67)</f>
        <v>0</v>
      </c>
      <c r="F68" s="844">
        <f t="shared" ref="F68:H68" si="16">SUM(F67)</f>
        <v>0</v>
      </c>
      <c r="G68" s="844">
        <f t="shared" si="16"/>
        <v>22254</v>
      </c>
      <c r="H68" s="844">
        <f t="shared" si="16"/>
        <v>22254</v>
      </c>
      <c r="I68" s="645"/>
      <c r="J68" s="260">
        <f t="shared" ref="J68" si="17">SUM(J67)</f>
        <v>0</v>
      </c>
      <c r="K68" s="260">
        <f t="shared" ref="K68" si="18">SUM(K67)</f>
        <v>0</v>
      </c>
      <c r="L68" s="646"/>
      <c r="M68" s="646"/>
      <c r="N68" s="646"/>
      <c r="O68" s="646"/>
    </row>
    <row r="69" spans="1:15" ht="10.15" customHeight="1">
      <c r="A69" s="238"/>
      <c r="B69" s="238"/>
      <c r="C69" s="236"/>
      <c r="E69" s="54"/>
      <c r="F69" s="243"/>
      <c r="G69" s="243"/>
      <c r="H69" s="243"/>
      <c r="I69" s="259"/>
      <c r="L69" s="257"/>
      <c r="M69" s="257"/>
      <c r="N69" s="257"/>
      <c r="O69" s="257"/>
    </row>
    <row r="70" spans="1:15" s="260" customFormat="1" ht="15" hidden="1">
      <c r="A70" s="273"/>
      <c r="B70" s="273"/>
      <c r="C70" s="274"/>
      <c r="D70" s="260" t="s">
        <v>337</v>
      </c>
      <c r="E70" s="44"/>
      <c r="F70" s="785"/>
      <c r="G70" s="785"/>
      <c r="H70" s="933"/>
      <c r="I70" s="54"/>
      <c r="J70" s="54"/>
    </row>
    <row r="71" spans="1:15" s="260" customFormat="1" ht="15" hidden="1">
      <c r="A71" s="273"/>
      <c r="B71" s="273"/>
      <c r="C71" s="274"/>
      <c r="D71" s="54" t="s">
        <v>371</v>
      </c>
      <c r="E71" s="54">
        <f>SUM('GF-Parks'!E50+'GF-Public Safety'!E47)</f>
        <v>0</v>
      </c>
      <c r="F71" s="243">
        <f>SUM('GF-Parks'!F50+'GF-Public Safety'!F47)</f>
        <v>0</v>
      </c>
      <c r="G71" s="243">
        <f>SUM('GF-Parks'!G50+'GF-Public Safety'!G47+'GF-NonDep''t'!G67)</f>
        <v>0</v>
      </c>
      <c r="H71" s="243">
        <f>SUM('GF-Parks'!H50+'GF-Public Safety'!H47+'GF-NonDep''t'!H67)</f>
        <v>0</v>
      </c>
      <c r="I71" s="54"/>
      <c r="J71" s="54">
        <f t="shared" ref="J71:J76" si="19">IF($N$2="Yes",H71,0)</f>
        <v>0</v>
      </c>
      <c r="K71" s="260">
        <f t="shared" ref="K71:K76" si="20">IF($O$2="Yes",J71,0)</f>
        <v>0</v>
      </c>
    </row>
    <row r="72" spans="1:15" ht="15" hidden="1">
      <c r="A72" s="238">
        <v>52</v>
      </c>
      <c r="B72" s="238">
        <v>0</v>
      </c>
      <c r="C72" s="236">
        <v>5225</v>
      </c>
      <c r="D72" s="54" t="s">
        <v>146</v>
      </c>
      <c r="E72" s="54">
        <f>SUM('GF-Parks'!E51+'GF-Public Safety'!E48)</f>
        <v>0</v>
      </c>
      <c r="F72" s="243">
        <f>SUM('GF-Parks'!F51+'GF-Public Safety'!F48)</f>
        <v>0</v>
      </c>
      <c r="G72" s="243">
        <f>SUM('GF-Parks'!G51+'GF-Public Safety'!G48)</f>
        <v>0</v>
      </c>
      <c r="H72" s="243">
        <f>SUM('GF-Parks'!H51+'GF-Public Safety'!H48)</f>
        <v>0</v>
      </c>
      <c r="J72" s="54">
        <f t="shared" si="19"/>
        <v>0</v>
      </c>
      <c r="K72" s="260">
        <f t="shared" si="20"/>
        <v>0</v>
      </c>
    </row>
    <row r="73" spans="1:15" ht="15" hidden="1">
      <c r="D73" s="54" t="s">
        <v>156</v>
      </c>
      <c r="E73" s="54">
        <f>SUM('GF-NonDep''t'!F49+'GF-Public Safety'!E43)</f>
        <v>145</v>
      </c>
      <c r="F73" s="243">
        <f>SUM('GF-NonDep''t'!G49+'GF-Public Safety'!F43)</f>
        <v>10000</v>
      </c>
      <c r="G73" s="243">
        <f>SUM('GF-NonDep''t'!H49+'GF-Public Safety'!G43)</f>
        <v>0</v>
      </c>
      <c r="H73" s="243">
        <f>SUM('GF-NonDep''t'!I49+'GF-Public Safety'!H43)</f>
        <v>0</v>
      </c>
      <c r="J73" s="54">
        <f t="shared" si="19"/>
        <v>0</v>
      </c>
      <c r="K73" s="260">
        <f t="shared" si="20"/>
        <v>0</v>
      </c>
    </row>
    <row r="74" spans="1:15" s="260" customFormat="1" ht="15" hidden="1">
      <c r="D74" s="54" t="s">
        <v>74</v>
      </c>
      <c r="E74" s="54">
        <f>SUM('GF-Parks'!E52)</f>
        <v>0</v>
      </c>
      <c r="F74" s="243">
        <f>SUM('GF-Parks'!F52)</f>
        <v>0</v>
      </c>
      <c r="G74" s="243">
        <f>SUM('GF-Parks'!G52)</f>
        <v>0</v>
      </c>
      <c r="H74" s="243">
        <f>SUM('GF-Parks'!H52)</f>
        <v>0</v>
      </c>
      <c r="J74" s="54">
        <f t="shared" si="19"/>
        <v>0</v>
      </c>
      <c r="K74" s="260">
        <f t="shared" si="20"/>
        <v>0</v>
      </c>
    </row>
    <row r="75" spans="1:15" ht="15" hidden="1">
      <c r="D75" s="54" t="s">
        <v>77</v>
      </c>
      <c r="E75" s="54">
        <f>SUM('GF-Parks'!E53)</f>
        <v>0</v>
      </c>
      <c r="F75" s="243">
        <f>SUM('GF-Parks'!F53)</f>
        <v>0</v>
      </c>
      <c r="G75" s="243">
        <f>SUM('GF-Parks'!G53)</f>
        <v>0</v>
      </c>
      <c r="H75" s="243">
        <f>SUM('GF-Parks'!H53)</f>
        <v>0</v>
      </c>
      <c r="I75" s="50"/>
      <c r="J75" s="54">
        <f t="shared" si="19"/>
        <v>0</v>
      </c>
      <c r="K75" s="260">
        <f t="shared" si="20"/>
        <v>0</v>
      </c>
    </row>
    <row r="76" spans="1:15" s="260" customFormat="1" ht="17.25" hidden="1">
      <c r="D76" s="54" t="s">
        <v>157</v>
      </c>
      <c r="E76" s="268">
        <f>SUM('GF-Public Safety'!E50)</f>
        <v>0</v>
      </c>
      <c r="F76" s="843">
        <f>SUM('GF-Public Safety'!F50)</f>
        <v>0</v>
      </c>
      <c r="G76" s="843">
        <f>SUM('GF-Public Safety'!G50)</f>
        <v>0</v>
      </c>
      <c r="H76" s="843">
        <f>SUM('GF-Public Safety'!H50)</f>
        <v>0</v>
      </c>
      <c r="I76" s="382"/>
      <c r="J76" s="268">
        <f t="shared" si="19"/>
        <v>0</v>
      </c>
      <c r="K76" s="278">
        <f t="shared" si="20"/>
        <v>0</v>
      </c>
    </row>
    <row r="77" spans="1:15" ht="15" hidden="1">
      <c r="D77" s="260" t="s">
        <v>340</v>
      </c>
      <c r="E77" s="50">
        <f t="shared" ref="E77" si="21">SUM(E71:E76)</f>
        <v>145</v>
      </c>
      <c r="F77" s="783">
        <f t="shared" ref="F77:H77" si="22">SUM(F71:F76)</f>
        <v>10000</v>
      </c>
      <c r="G77" s="783">
        <f t="shared" si="22"/>
        <v>0</v>
      </c>
      <c r="H77" s="783">
        <f t="shared" si="22"/>
        <v>0</v>
      </c>
      <c r="J77" s="50">
        <f t="shared" ref="J77:K77" si="23">SUM(J71:J76)</f>
        <v>0</v>
      </c>
      <c r="K77" s="50">
        <f t="shared" si="23"/>
        <v>0</v>
      </c>
    </row>
    <row r="78" spans="1:15" ht="10.15" hidden="1" customHeight="1">
      <c r="A78" s="238"/>
      <c r="B78" s="238"/>
      <c r="C78" s="236"/>
      <c r="E78" s="54"/>
      <c r="F78" s="243"/>
      <c r="G78" s="243"/>
      <c r="H78" s="243"/>
      <c r="I78" s="259"/>
      <c r="L78" s="238"/>
      <c r="M78" s="238"/>
    </row>
    <row r="79" spans="1:15" ht="17.25">
      <c r="A79" s="238"/>
      <c r="B79" s="238"/>
      <c r="C79" s="236"/>
      <c r="D79" s="260" t="s">
        <v>24</v>
      </c>
      <c r="E79" s="54"/>
      <c r="F79" s="243"/>
      <c r="G79" s="243"/>
      <c r="H79" s="243"/>
      <c r="I79" s="259"/>
      <c r="L79" s="238"/>
      <c r="M79" s="238"/>
    </row>
    <row r="80" spans="1:15" ht="17.25" hidden="1">
      <c r="A80" s="238"/>
      <c r="B80" s="238"/>
      <c r="C80" s="236"/>
      <c r="D80" s="54" t="s">
        <v>111</v>
      </c>
      <c r="E80" s="54">
        <v>0</v>
      </c>
      <c r="F80" s="243">
        <v>0</v>
      </c>
      <c r="G80" s="243">
        <f>'GF-NonDep''t'!G58</f>
        <v>0</v>
      </c>
      <c r="H80" s="243">
        <v>0</v>
      </c>
      <c r="I80" s="259"/>
      <c r="J80" s="54">
        <f t="shared" ref="J80" si="24">IF($N$2="Yes",H80,0)</f>
        <v>0</v>
      </c>
      <c r="K80" s="260">
        <f t="shared" ref="K80" si="25">IF($O$2="Yes",J80,0)</f>
        <v>0</v>
      </c>
      <c r="L80" s="238"/>
      <c r="M80" s="238"/>
    </row>
    <row r="81" spans="1:13" ht="17.25">
      <c r="A81" s="238"/>
      <c r="B81" s="238"/>
      <c r="C81" s="236"/>
      <c r="D81" s="54" t="s">
        <v>185</v>
      </c>
      <c r="E81" s="271">
        <v>0</v>
      </c>
      <c r="F81" s="271">
        <f>'GF-Parks'!F46</f>
        <v>5000</v>
      </c>
      <c r="G81" s="271">
        <f>'GF-Parks'!G45+'GF-Public Safety'!G42+'GF-NonDep''t'!G59</f>
        <v>5000</v>
      </c>
      <c r="H81" s="271">
        <f>'GF-Parks'!H45+'GF-Public Safety'!H42+'GF-NonDep''t'!H59</f>
        <v>5000</v>
      </c>
      <c r="I81" s="259"/>
      <c r="J81" s="268">
        <f t="shared" ref="J81" si="26">IF($N$2="Yes",H81,0)</f>
        <v>0</v>
      </c>
      <c r="K81" s="278">
        <f t="shared" ref="K81" si="27">IF($O$2="Yes",J81,0)</f>
        <v>0</v>
      </c>
      <c r="L81" s="238"/>
      <c r="M81" s="238"/>
    </row>
    <row r="82" spans="1:13" ht="17.25">
      <c r="A82" s="238"/>
      <c r="B82" s="238"/>
      <c r="C82" s="236"/>
      <c r="D82" s="260" t="s">
        <v>25</v>
      </c>
      <c r="E82" s="270">
        <f t="shared" ref="E82" si="28">SUM(E80:E81)</f>
        <v>0</v>
      </c>
      <c r="F82" s="270">
        <f t="shared" ref="F82:G82" si="29">SUM(F80:F81)</f>
        <v>5000</v>
      </c>
      <c r="G82" s="270">
        <f t="shared" si="29"/>
        <v>5000</v>
      </c>
      <c r="H82" s="270">
        <f>SUM(H80:H81)</f>
        <v>5000</v>
      </c>
      <c r="I82" s="275"/>
      <c r="J82" s="270">
        <f t="shared" ref="J82:K82" si="30">SUM(J80:J81)</f>
        <v>0</v>
      </c>
      <c r="K82" s="270">
        <f t="shared" si="30"/>
        <v>0</v>
      </c>
      <c r="L82" s="238"/>
      <c r="M82" s="238"/>
    </row>
    <row r="83" spans="1:13" ht="10.15" customHeight="1">
      <c r="A83" s="238"/>
      <c r="B83" s="238"/>
      <c r="C83" s="236"/>
      <c r="D83" s="260"/>
      <c r="E83" s="270"/>
      <c r="F83" s="270"/>
      <c r="G83" s="270"/>
      <c r="H83" s="270"/>
      <c r="I83" s="263"/>
      <c r="L83" s="238"/>
      <c r="M83" s="238"/>
    </row>
    <row r="84" spans="1:13" ht="15">
      <c r="A84" s="238"/>
      <c r="B84" s="238"/>
      <c r="C84" s="236"/>
      <c r="D84" s="54" t="s">
        <v>26</v>
      </c>
      <c r="E84" s="54">
        <v>0</v>
      </c>
      <c r="F84" s="243">
        <v>0</v>
      </c>
      <c r="G84" s="243">
        <f>'Combined GF Revenues'!G72</f>
        <v>150000</v>
      </c>
      <c r="H84" s="243">
        <f>'Combined GF Revenues'!H72</f>
        <v>100000</v>
      </c>
      <c r="I84" s="267"/>
      <c r="J84" s="54">
        <f t="shared" ref="J84" si="31">IF($N$2="Yes",H84,0)</f>
        <v>0</v>
      </c>
      <c r="K84" s="260">
        <f t="shared" ref="K84" si="32">IF($O$2="Yes",J84,0)</f>
        <v>0</v>
      </c>
      <c r="L84" s="238"/>
      <c r="M84" s="238"/>
    </row>
    <row r="85" spans="1:13" ht="10.15" customHeight="1" thickBot="1">
      <c r="A85" s="238"/>
      <c r="B85" s="238"/>
      <c r="C85" s="236"/>
      <c r="E85" s="276"/>
      <c r="F85" s="276"/>
      <c r="G85" s="276"/>
      <c r="H85" s="276"/>
      <c r="I85" s="267"/>
      <c r="J85" s="276"/>
      <c r="K85" s="276"/>
      <c r="L85" s="238"/>
      <c r="M85" s="238"/>
    </row>
    <row r="86" spans="1:13" ht="15.75" thickTop="1">
      <c r="A86" s="238"/>
      <c r="B86" s="238"/>
      <c r="C86" s="236"/>
      <c r="D86" s="260" t="s">
        <v>28</v>
      </c>
      <c r="E86" s="270">
        <f>SUM(E82+E64+E56+E16+E77+E84)</f>
        <v>1120100</v>
      </c>
      <c r="F86" s="270">
        <f>SUM(F82+F64+F56+F16+F77+F84)</f>
        <v>477610</v>
      </c>
      <c r="G86" s="270">
        <f>SUM(G82+G64+G56+G16+G68+G77+G84)</f>
        <v>649284.61723715416</v>
      </c>
      <c r="H86" s="270">
        <f>SUM(H82+H68+H64+H56+H16+H77+H84)</f>
        <v>1347240.3669094772</v>
      </c>
      <c r="J86" s="270">
        <f t="shared" ref="J86:K86" si="33">SUM(J82+J68+J64+J56+J16+J77+J84)</f>
        <v>0</v>
      </c>
      <c r="K86" s="270">
        <f t="shared" si="33"/>
        <v>0</v>
      </c>
    </row>
    <row r="87" spans="1:13" s="260" customFormat="1" ht="10.15" customHeight="1">
      <c r="A87" s="273">
        <v>52</v>
      </c>
      <c r="B87" s="273">
        <v>0</v>
      </c>
      <c r="C87" s="274">
        <v>5137</v>
      </c>
      <c r="D87" s="54"/>
      <c r="E87" s="54"/>
      <c r="F87" s="243"/>
      <c r="G87" s="243"/>
      <c r="H87" s="243"/>
      <c r="I87" s="54"/>
      <c r="J87" s="54"/>
      <c r="K87" s="54"/>
    </row>
    <row r="88" spans="1:13" ht="15.75" thickBot="1">
      <c r="A88" s="238"/>
      <c r="B88" s="238"/>
      <c r="C88" s="236"/>
      <c r="D88" s="260" t="s">
        <v>27</v>
      </c>
      <c r="E88" s="277">
        <f>'Combined GF Revenues'!E75</f>
        <v>391407</v>
      </c>
      <c r="F88" s="845">
        <f>'Combined GF Revenues'!F75</f>
        <v>550512</v>
      </c>
      <c r="G88" s="845">
        <f>'Combined GF Revenues'!G75</f>
        <v>286351</v>
      </c>
      <c r="H88" s="845">
        <f>'Combined GF Revenues'!H75</f>
        <v>315995.63309052284</v>
      </c>
      <c r="I88" s="50"/>
      <c r="J88" s="277">
        <f>'Combined GF Revenues'!J75</f>
        <v>0</v>
      </c>
      <c r="K88" s="277">
        <f>'Combined GF Revenues'!K75</f>
        <v>0</v>
      </c>
    </row>
    <row r="89" spans="1:13" s="260" customFormat="1" ht="15.75" thickTop="1">
      <c r="A89" s="273">
        <v>52</v>
      </c>
      <c r="B89" s="273">
        <v>0</v>
      </c>
      <c r="C89" s="274">
        <v>5285</v>
      </c>
      <c r="D89" s="54"/>
      <c r="E89" s="54"/>
      <c r="F89" s="243"/>
      <c r="G89" s="243"/>
      <c r="H89" s="243"/>
      <c r="I89" s="54"/>
      <c r="J89" s="54"/>
    </row>
    <row r="90" spans="1:13" ht="15">
      <c r="D90" s="260" t="s">
        <v>150</v>
      </c>
      <c r="E90" s="260">
        <f>SUM(E86+E88)</f>
        <v>1511507</v>
      </c>
      <c r="F90" s="844">
        <f>SUM(F86+F88)</f>
        <v>1028122</v>
      </c>
      <c r="G90" s="844">
        <f>SUM(G86+G88)</f>
        <v>935635.61723715416</v>
      </c>
      <c r="H90" s="844">
        <f>SUM(H86+H88)</f>
        <v>1663236</v>
      </c>
      <c r="I90" s="260"/>
      <c r="J90" s="260">
        <f t="shared" ref="J90:K90" si="34">SUM(J86+J88)</f>
        <v>0</v>
      </c>
      <c r="K90" s="260">
        <f t="shared" si="34"/>
        <v>0</v>
      </c>
    </row>
    <row r="91" spans="1:13">
      <c r="H91" s="243"/>
    </row>
    <row r="92" spans="1:13">
      <c r="D92" s="54" t="s">
        <v>420</v>
      </c>
    </row>
  </sheetData>
  <mergeCells count="3">
    <mergeCell ref="D1:K1"/>
    <mergeCell ref="A2:K2"/>
    <mergeCell ref="A4:K4"/>
  </mergeCells>
  <phoneticPr fontId="0" type="noConversion"/>
  <printOptions horizontalCentered="1"/>
  <pageMargins left="0.7" right="0.7" top="0.75" bottom="0.75" header="0.3" footer="0.3"/>
  <pageSetup scale="66" orientation="portrait" horizontalDpi="4294967293" r:id="rId1"/>
  <headerFooter>
    <oddHeader>&amp;C&amp;A</oddHeader>
    <oddFooter>&amp;C&amp;F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6"/>
  <sheetViews>
    <sheetView topLeftCell="D1" zoomScale="69" zoomScaleNormal="69" zoomScalePageLayoutView="69" workbookViewId="0">
      <pane xSplit="2" ySplit="6" topLeftCell="F7" activePane="bottomRight" state="frozen"/>
      <selection activeCell="D1" sqref="D1"/>
      <selection pane="topRight" activeCell="F1" sqref="F1"/>
      <selection pane="bottomLeft" activeCell="D7" sqref="D7"/>
      <selection pane="bottomRight" activeCell="G34" sqref="G34"/>
    </sheetView>
  </sheetViews>
  <sheetFormatPr defaultColWidth="8.7109375" defaultRowHeight="14.25"/>
  <cols>
    <col min="1" max="3" width="0" style="243" hidden="1" customWidth="1"/>
    <col min="4" max="4" width="41.28515625" style="243" bestFit="1" customWidth="1"/>
    <col min="5" max="5" width="13" style="243" bestFit="1" customWidth="1"/>
    <col min="6" max="6" width="13.42578125" style="243" bestFit="1" customWidth="1"/>
    <col min="7" max="7" width="14" style="243" bestFit="1" customWidth="1"/>
    <col min="8" max="8" width="12.140625" style="243" customWidth="1"/>
    <col min="9" max="9" width="12.7109375" style="243" bestFit="1" customWidth="1"/>
    <col min="10" max="10" width="8.7109375" style="243"/>
    <col min="11" max="11" width="18.42578125" style="243" customWidth="1"/>
    <col min="12" max="12" width="12.7109375" style="989" customWidth="1"/>
    <col min="13" max="13" width="9.28515625" style="989" bestFit="1" customWidth="1"/>
    <col min="14" max="14" width="14.42578125" style="243" customWidth="1"/>
    <col min="15" max="15" width="9.28515625" style="243" bestFit="1" customWidth="1"/>
    <col min="16" max="16384" width="8.7109375" style="243"/>
  </cols>
  <sheetData>
    <row r="1" spans="1:11" ht="15">
      <c r="A1" s="988" t="s">
        <v>0</v>
      </c>
      <c r="B1" s="988"/>
      <c r="C1" s="988"/>
      <c r="D1" s="1081" t="s">
        <v>0</v>
      </c>
      <c r="E1" s="1081"/>
      <c r="F1" s="1081"/>
      <c r="G1" s="1081"/>
      <c r="H1" s="1081"/>
      <c r="I1" s="1081"/>
    </row>
    <row r="3" spans="1:11" ht="15">
      <c r="A3" s="1082" t="s">
        <v>206</v>
      </c>
      <c r="B3" s="1082"/>
      <c r="C3" s="1082"/>
      <c r="D3" s="1082"/>
      <c r="E3" s="1082"/>
      <c r="F3" s="1082"/>
      <c r="G3" s="1082"/>
      <c r="H3" s="1082"/>
      <c r="I3" s="1082"/>
    </row>
    <row r="4" spans="1:11">
      <c r="A4" s="989"/>
      <c r="B4" s="989"/>
      <c r="C4" s="990"/>
      <c r="G4" s="258"/>
    </row>
    <row r="5" spans="1:11" ht="5.25" customHeight="1">
      <c r="A5" s="989"/>
      <c r="B5" s="989"/>
      <c r="C5" s="990"/>
      <c r="D5" s="991"/>
      <c r="E5" s="985"/>
      <c r="F5" s="985"/>
      <c r="G5" s="247"/>
      <c r="H5" s="992"/>
      <c r="I5" s="985"/>
    </row>
    <row r="6" spans="1:11" ht="33" customHeight="1">
      <c r="A6" s="989" t="s">
        <v>5</v>
      </c>
      <c r="B6" s="989"/>
      <c r="C6" s="990"/>
      <c r="D6" s="991"/>
      <c r="E6" s="251" t="s">
        <v>150</v>
      </c>
      <c r="F6" s="279" t="s">
        <v>179</v>
      </c>
      <c r="G6" s="251" t="s">
        <v>140</v>
      </c>
      <c r="H6" s="280" t="s">
        <v>21</v>
      </c>
      <c r="I6" s="279" t="s">
        <v>161</v>
      </c>
    </row>
    <row r="7" spans="1:11">
      <c r="A7" s="989"/>
      <c r="B7" s="989"/>
      <c r="C7" s="990"/>
      <c r="D7" s="991"/>
      <c r="E7" s="261"/>
      <c r="F7" s="261"/>
      <c r="G7" s="261"/>
      <c r="H7" s="989"/>
      <c r="I7" s="261"/>
    </row>
    <row r="8" spans="1:11" ht="15">
      <c r="A8" s="989"/>
      <c r="B8" s="989"/>
      <c r="C8" s="990"/>
      <c r="D8" s="844" t="s">
        <v>341</v>
      </c>
      <c r="E8" s="438"/>
      <c r="F8" s="438"/>
      <c r="G8" s="438"/>
      <c r="H8" s="438"/>
      <c r="I8" s="438"/>
    </row>
    <row r="9" spans="1:11" ht="15">
      <c r="A9" s="989"/>
      <c r="B9" s="989"/>
      <c r="C9" s="990"/>
      <c r="D9" s="243" t="s">
        <v>30</v>
      </c>
      <c r="E9" s="933">
        <f t="shared" ref="E9:E17" si="0">SUM(F9:I9)</f>
        <v>69840</v>
      </c>
      <c r="F9" s="787">
        <f>SUM('Personnel by Fund'!F5)</f>
        <v>64020.000000000007</v>
      </c>
      <c r="G9" s="243">
        <v>0</v>
      </c>
      <c r="H9" s="787">
        <f>SUM('Personnel by Fund'!H5)</f>
        <v>0</v>
      </c>
      <c r="I9" s="787">
        <f>SUM('Personnel by Fund'!I5)</f>
        <v>5820</v>
      </c>
      <c r="K9" s="844"/>
    </row>
    <row r="10" spans="1:11" ht="15">
      <c r="A10" s="989"/>
      <c r="B10" s="989"/>
      <c r="C10" s="990"/>
      <c r="D10" s="243" t="s">
        <v>219</v>
      </c>
      <c r="E10" s="933">
        <f t="shared" si="0"/>
        <v>9679.0513508718777</v>
      </c>
      <c r="F10" s="787">
        <f>SUM('Personnel by Fund'!F12)</f>
        <v>9679.0513508718777</v>
      </c>
      <c r="G10" s="243">
        <v>0</v>
      </c>
      <c r="H10" s="787">
        <f>SUM('Personnel by Fund'!H12)</f>
        <v>0</v>
      </c>
      <c r="I10" s="787">
        <f>SUM('Personnel by Fund'!I12)</f>
        <v>0</v>
      </c>
      <c r="K10" s="844"/>
    </row>
    <row r="11" spans="1:11" ht="15">
      <c r="A11" s="989"/>
      <c r="B11" s="989"/>
      <c r="C11" s="990"/>
      <c r="D11" s="243" t="s">
        <v>208</v>
      </c>
      <c r="E11" s="933">
        <f t="shared" si="0"/>
        <v>4355.5731078923436</v>
      </c>
      <c r="F11" s="787">
        <f>SUM('Personnel by Fund'!F19)</f>
        <v>4355.5731078923436</v>
      </c>
      <c r="G11" s="243">
        <v>0</v>
      </c>
      <c r="H11" s="787">
        <f>SUM('Personnel by Fund'!H19)</f>
        <v>0</v>
      </c>
      <c r="I11" s="787">
        <f>SUM('Personnel by Fund'!I13)</f>
        <v>0</v>
      </c>
      <c r="K11" s="844"/>
    </row>
    <row r="12" spans="1:11" ht="15">
      <c r="A12" s="989"/>
      <c r="B12" s="989"/>
      <c r="C12" s="990"/>
      <c r="D12" s="243" t="s">
        <v>237</v>
      </c>
      <c r="E12" s="933">
        <f t="shared" si="0"/>
        <v>16563.036</v>
      </c>
      <c r="F12" s="243">
        <v>0</v>
      </c>
      <c r="G12" s="243">
        <v>0</v>
      </c>
      <c r="H12" s="787">
        <f>SUM('Personnel by Fund'!H26)</f>
        <v>16563.036</v>
      </c>
      <c r="I12" s="787">
        <f>SUM('Personnel by Fund'!I14)</f>
        <v>0</v>
      </c>
      <c r="K12" s="844"/>
    </row>
    <row r="13" spans="1:11" ht="15">
      <c r="A13" s="989"/>
      <c r="B13" s="989"/>
      <c r="C13" s="990"/>
      <c r="D13" s="243" t="s">
        <v>296</v>
      </c>
      <c r="E13" s="933">
        <f t="shared" si="0"/>
        <v>16100.636506959374</v>
      </c>
      <c r="F13" s="243">
        <v>0</v>
      </c>
      <c r="G13" s="243">
        <v>0</v>
      </c>
      <c r="H13" s="787">
        <f>SUM('Personnel by Fund'!H33+'Personnel by Fund'!H40+'Personnel by Fund'!H47)</f>
        <v>16100.636506959374</v>
      </c>
      <c r="I13" s="787">
        <f>SUM('Personnel by Fund'!I15)</f>
        <v>0</v>
      </c>
      <c r="K13" s="844"/>
    </row>
    <row r="14" spans="1:11" ht="15" hidden="1">
      <c r="A14" s="989"/>
      <c r="B14" s="989"/>
      <c r="C14" s="990"/>
      <c r="D14" s="243" t="s">
        <v>417</v>
      </c>
      <c r="E14" s="933">
        <f t="shared" ref="E14" si="1">SUM(F14:I14)</f>
        <v>0</v>
      </c>
      <c r="F14" s="243">
        <v>0</v>
      </c>
      <c r="G14" s="243">
        <v>0</v>
      </c>
      <c r="H14" s="787">
        <f>'Personnel by Fund'!H54</f>
        <v>0</v>
      </c>
      <c r="I14" s="787">
        <f>SUM('Personnel by Fund'!I16)</f>
        <v>0</v>
      </c>
      <c r="K14" s="844"/>
    </row>
    <row r="15" spans="1:11" ht="15">
      <c r="A15" s="989"/>
      <c r="B15" s="989"/>
      <c r="C15" s="990"/>
      <c r="D15" s="243" t="s">
        <v>198</v>
      </c>
      <c r="E15" s="933">
        <f t="shared" si="0"/>
        <v>13816.581065463</v>
      </c>
      <c r="F15" s="787">
        <f>SUM('Personnel by Fund'!F61)</f>
        <v>10787.149100201215</v>
      </c>
      <c r="G15" s="243">
        <v>0</v>
      </c>
      <c r="H15" s="787">
        <f>SUM('Personnel by Fund'!H61)</f>
        <v>2225.1079652617855</v>
      </c>
      <c r="I15" s="787">
        <f>SUM('Personnel by Fund'!I61)</f>
        <v>804.32400000000007</v>
      </c>
      <c r="K15" s="844"/>
    </row>
    <row r="16" spans="1:11" ht="15">
      <c r="A16" s="989"/>
      <c r="B16" s="989"/>
      <c r="C16" s="990"/>
      <c r="D16" s="243" t="s">
        <v>260</v>
      </c>
      <c r="E16" s="933">
        <f t="shared" si="0"/>
        <v>25729.207999999999</v>
      </c>
      <c r="F16" s="787">
        <f>SUM('Personnel by Fund'!F62)</f>
        <v>17395.031999999999</v>
      </c>
      <c r="G16" s="243">
        <v>0</v>
      </c>
      <c r="H16" s="787">
        <f>SUM('Personnel by Fund'!H62)</f>
        <v>7135.8</v>
      </c>
      <c r="I16" s="787">
        <f>SUM('Personnel by Fund'!I62)</f>
        <v>1198.376</v>
      </c>
      <c r="K16" s="844"/>
    </row>
    <row r="17" spans="1:15" ht="15">
      <c r="A17" s="989"/>
      <c r="B17" s="989"/>
      <c r="C17" s="990"/>
      <c r="D17" s="243" t="s">
        <v>282</v>
      </c>
      <c r="E17" s="786">
        <f t="shared" si="0"/>
        <v>27153.28087829053</v>
      </c>
      <c r="F17" s="781">
        <f>SUM('Personnel by Fund'!F63)</f>
        <v>21199.636003000363</v>
      </c>
      <c r="G17" s="786">
        <v>0</v>
      </c>
      <c r="H17" s="781">
        <f>SUM('Personnel by Fund'!H63)</f>
        <v>4372.9328752901665</v>
      </c>
      <c r="I17" s="781">
        <f>SUM('Personnel by Fund'!I63)</f>
        <v>1580.7120000000002</v>
      </c>
      <c r="K17" s="844"/>
    </row>
    <row r="18" spans="1:15" ht="15">
      <c r="A18" s="989"/>
      <c r="B18" s="989"/>
      <c r="C18" s="990"/>
      <c r="D18" s="844" t="s">
        <v>31</v>
      </c>
      <c r="E18" s="438">
        <f>SUM(E9:E17)</f>
        <v>183237.3669094771</v>
      </c>
      <c r="F18" s="438">
        <f>SUM(F9:F17)</f>
        <v>127436.44156196582</v>
      </c>
      <c r="G18" s="438">
        <f>SUM(G9:G17)</f>
        <v>0</v>
      </c>
      <c r="H18" s="438">
        <f>SUM(H9:H17)</f>
        <v>46397.513347511325</v>
      </c>
      <c r="I18" s="438">
        <f>SUM(I9:I17)</f>
        <v>9403.4120000000003</v>
      </c>
      <c r="K18" s="844"/>
    </row>
    <row r="19" spans="1:15" ht="10.15" customHeight="1">
      <c r="A19" s="989"/>
      <c r="B19" s="989"/>
      <c r="C19" s="990"/>
      <c r="D19" s="844"/>
      <c r="E19" s="438"/>
      <c r="F19" s="158"/>
      <c r="G19" s="933"/>
      <c r="H19" s="789"/>
      <c r="I19" s="158"/>
      <c r="K19" s="844"/>
    </row>
    <row r="20" spans="1:15" ht="15">
      <c r="A20" s="989"/>
      <c r="B20" s="989"/>
      <c r="C20" s="990"/>
      <c r="D20" s="844" t="s">
        <v>32</v>
      </c>
      <c r="E20" s="267"/>
      <c r="F20" s="783"/>
      <c r="G20" s="933"/>
      <c r="H20" s="933"/>
      <c r="I20" s="783"/>
      <c r="K20" s="844"/>
    </row>
    <row r="21" spans="1:15" ht="15">
      <c r="A21" s="989"/>
      <c r="B21" s="989"/>
      <c r="C21" s="990"/>
      <c r="D21" s="243" t="s">
        <v>94</v>
      </c>
      <c r="E21" s="243">
        <f>SUM(F21:I21)</f>
        <v>3500</v>
      </c>
      <c r="F21" s="243">
        <v>0</v>
      </c>
      <c r="G21" s="933">
        <f>SUM('GF-NonDep''t'!H12)</f>
        <v>3500</v>
      </c>
      <c r="H21" s="243">
        <v>0</v>
      </c>
      <c r="I21" s="243">
        <v>0</v>
      </c>
      <c r="K21" s="844"/>
    </row>
    <row r="22" spans="1:15" ht="15">
      <c r="A22" s="989"/>
      <c r="B22" s="989"/>
      <c r="C22" s="990"/>
      <c r="D22" s="243" t="s">
        <v>180</v>
      </c>
      <c r="E22" s="243">
        <f t="shared" ref="E22:E53" si="2">SUM(F22:I22)</f>
        <v>1500</v>
      </c>
      <c r="F22" s="243">
        <v>0</v>
      </c>
      <c r="G22" s="933">
        <f>SUM('GF-NonDep''t'!H13)</f>
        <v>1500</v>
      </c>
      <c r="H22" s="243">
        <v>0</v>
      </c>
      <c r="I22" s="243">
        <v>0</v>
      </c>
      <c r="K22" s="844"/>
    </row>
    <row r="23" spans="1:15" ht="15">
      <c r="A23" s="989"/>
      <c r="B23" s="989"/>
      <c r="C23" s="990"/>
      <c r="D23" s="243" t="s">
        <v>33</v>
      </c>
      <c r="E23" s="243">
        <f t="shared" si="2"/>
        <v>200</v>
      </c>
      <c r="F23" s="789">
        <f>SUM('GF-Admin &amp; Plng'!H18)</f>
        <v>200</v>
      </c>
      <c r="G23" s="243">
        <v>0</v>
      </c>
      <c r="H23" s="243">
        <v>0</v>
      </c>
      <c r="I23" s="243">
        <v>0</v>
      </c>
      <c r="K23" s="844"/>
      <c r="L23" s="990"/>
      <c r="O23" s="844"/>
    </row>
    <row r="24" spans="1:15" ht="15" hidden="1">
      <c r="A24" s="989"/>
      <c r="B24" s="989"/>
      <c r="C24" s="990"/>
      <c r="D24" s="243" t="s">
        <v>34</v>
      </c>
      <c r="E24" s="243">
        <f t="shared" si="2"/>
        <v>0</v>
      </c>
      <c r="F24" s="789">
        <f>SUM('GF-Admin &amp; Plng'!H19)</f>
        <v>0</v>
      </c>
      <c r="G24" s="243">
        <v>0</v>
      </c>
      <c r="H24" s="243">
        <v>0</v>
      </c>
      <c r="I24" s="243">
        <v>0</v>
      </c>
      <c r="K24" s="844"/>
      <c r="O24" s="844"/>
    </row>
    <row r="25" spans="1:15" ht="15">
      <c r="A25" s="989"/>
      <c r="B25" s="989"/>
      <c r="C25" s="990"/>
      <c r="D25" s="243" t="s">
        <v>35</v>
      </c>
      <c r="E25" s="243">
        <f t="shared" si="2"/>
        <v>250</v>
      </c>
      <c r="F25" s="789">
        <f>SUM('GF-Admin &amp; Plng'!H20)</f>
        <v>250</v>
      </c>
      <c r="G25" s="243">
        <v>0</v>
      </c>
      <c r="H25" s="243">
        <v>0</v>
      </c>
      <c r="I25" s="243">
        <v>0</v>
      </c>
      <c r="K25" s="844"/>
      <c r="O25" s="844"/>
    </row>
    <row r="26" spans="1:15" ht="15">
      <c r="A26" s="989"/>
      <c r="B26" s="989"/>
      <c r="C26" s="990"/>
      <c r="D26" s="243" t="s">
        <v>72</v>
      </c>
      <c r="E26" s="243">
        <f t="shared" si="2"/>
        <v>43000</v>
      </c>
      <c r="F26" s="789">
        <f>SUM('GF-Admin &amp; Plng'!H21)</f>
        <v>2500</v>
      </c>
      <c r="G26" s="933">
        <f>SUM('GF-NonDep''t'!H16)</f>
        <v>4000</v>
      </c>
      <c r="H26" s="243">
        <f>'GF-Parks'!H18</f>
        <v>500</v>
      </c>
      <c r="I26" s="789">
        <f>SUM('GF-Public Safety'!H23)</f>
        <v>36000</v>
      </c>
      <c r="K26" s="844"/>
      <c r="N26" s="993"/>
    </row>
    <row r="27" spans="1:15" s="997" customFormat="1" ht="18" customHeight="1">
      <c r="A27" s="40" t="s">
        <v>398</v>
      </c>
      <c r="B27" s="933">
        <v>0</v>
      </c>
      <c r="C27" s="933">
        <v>0</v>
      </c>
      <c r="D27" s="933" t="s">
        <v>495</v>
      </c>
      <c r="E27" s="933">
        <f t="shared" si="2"/>
        <v>5000</v>
      </c>
      <c r="F27" s="994">
        <v>0</v>
      </c>
      <c r="G27" s="789">
        <f>'GF-NonDep''t'!H17</f>
        <v>5000</v>
      </c>
      <c r="H27" s="933">
        <f>IF(K17="Yes",G27,0)</f>
        <v>0</v>
      </c>
      <c r="I27" s="995">
        <v>0</v>
      </c>
      <c r="J27" s="996"/>
      <c r="K27" s="996"/>
    </row>
    <row r="28" spans="1:15" ht="15">
      <c r="A28" s="989"/>
      <c r="B28" s="989"/>
      <c r="C28" s="990"/>
      <c r="D28" s="243" t="s">
        <v>36</v>
      </c>
      <c r="E28" s="243">
        <f t="shared" si="2"/>
        <v>15200</v>
      </c>
      <c r="F28" s="789">
        <f>'GF-Admin &amp; Plng'!H22</f>
        <v>15000</v>
      </c>
      <c r="G28" s="933">
        <f>SUM('GF-NonDep''t'!H19)</f>
        <v>200</v>
      </c>
      <c r="H28" s="789">
        <f>SUM('GF-Parks'!H19)</f>
        <v>0</v>
      </c>
      <c r="I28" s="243">
        <v>0</v>
      </c>
      <c r="K28" s="844"/>
    </row>
    <row r="29" spans="1:15" ht="15">
      <c r="A29" s="989"/>
      <c r="B29" s="989"/>
      <c r="C29" s="990"/>
      <c r="D29" s="243" t="s">
        <v>60</v>
      </c>
      <c r="E29" s="243">
        <f t="shared" si="2"/>
        <v>5700</v>
      </c>
      <c r="G29" s="933">
        <f>SUM('GF-NonDep''t'!H20)</f>
        <v>5700</v>
      </c>
      <c r="H29" s="243">
        <v>0</v>
      </c>
      <c r="I29" s="243">
        <v>0</v>
      </c>
      <c r="K29" s="844"/>
      <c r="O29" s="998"/>
    </row>
    <row r="30" spans="1:15" ht="15">
      <c r="A30" s="989"/>
      <c r="B30" s="989"/>
      <c r="C30" s="990"/>
      <c r="D30" s="243" t="s">
        <v>259</v>
      </c>
      <c r="E30" s="243">
        <f t="shared" si="2"/>
        <v>51000</v>
      </c>
      <c r="F30" s="243">
        <v>0</v>
      </c>
      <c r="G30" s="933">
        <f>SUM('GF-NonDep''t'!H22)</f>
        <v>50000</v>
      </c>
      <c r="H30" s="243">
        <f>SUM('GF-Parks'!H20)</f>
        <v>1000</v>
      </c>
      <c r="I30" s="243">
        <v>0</v>
      </c>
      <c r="K30" s="844"/>
    </row>
    <row r="31" spans="1:15" ht="15">
      <c r="A31" s="989"/>
      <c r="B31" s="989"/>
      <c r="C31" s="990"/>
      <c r="D31" s="243" t="s">
        <v>138</v>
      </c>
      <c r="E31" s="243">
        <f t="shared" si="2"/>
        <v>20500</v>
      </c>
      <c r="F31" s="243">
        <v>0</v>
      </c>
      <c r="G31" s="933">
        <f>SUM('GF-NonDep''t'!H24)</f>
        <v>20000</v>
      </c>
      <c r="H31" s="243">
        <f>SUM('GF-Parks'!H21)</f>
        <v>500</v>
      </c>
      <c r="I31" s="243">
        <v>0</v>
      </c>
      <c r="K31" s="844"/>
      <c r="N31" s="844"/>
    </row>
    <row r="32" spans="1:15" ht="15">
      <c r="A32" s="989"/>
      <c r="B32" s="989"/>
      <c r="C32" s="990"/>
      <c r="D32" s="243" t="s">
        <v>166</v>
      </c>
      <c r="E32" s="243">
        <f t="shared" si="2"/>
        <v>5750</v>
      </c>
      <c r="F32" s="243">
        <v>0</v>
      </c>
      <c r="G32" s="933">
        <f>SUM('GF-NonDep''t'!H25)</f>
        <v>4500</v>
      </c>
      <c r="H32" s="243">
        <f>SUM('GF-Parks'!H22)</f>
        <v>1250</v>
      </c>
      <c r="I32" s="243">
        <v>0</v>
      </c>
      <c r="K32" s="844"/>
    </row>
    <row r="33" spans="1:12" ht="15">
      <c r="A33" s="989"/>
      <c r="B33" s="989"/>
      <c r="C33" s="990"/>
      <c r="D33" s="243" t="s">
        <v>210</v>
      </c>
      <c r="E33" s="243">
        <f t="shared" si="2"/>
        <v>800</v>
      </c>
      <c r="F33" s="243">
        <v>0</v>
      </c>
      <c r="G33" s="243">
        <v>0</v>
      </c>
      <c r="H33" s="933">
        <f>SUM('GF-Parks'!H23)</f>
        <v>800</v>
      </c>
      <c r="I33" s="243">
        <v>0</v>
      </c>
      <c r="K33" s="844"/>
    </row>
    <row r="34" spans="1:12" ht="15">
      <c r="A34" s="989"/>
      <c r="B34" s="989"/>
      <c r="C34" s="990"/>
      <c r="D34" s="243" t="s">
        <v>168</v>
      </c>
      <c r="E34" s="243">
        <f t="shared" si="2"/>
        <v>700</v>
      </c>
      <c r="F34" s="243">
        <v>0</v>
      </c>
      <c r="G34" s="933">
        <f>SUM('GF-NonDep''t'!H26)</f>
        <v>500</v>
      </c>
      <c r="H34" s="933">
        <f>SUM('GF-Parks'!H24)</f>
        <v>200</v>
      </c>
      <c r="I34" s="243">
        <v>0</v>
      </c>
      <c r="K34" s="844"/>
      <c r="L34" s="990"/>
    </row>
    <row r="35" spans="1:12" ht="15">
      <c r="A35" s="989"/>
      <c r="B35" s="989"/>
      <c r="C35" s="990"/>
      <c r="D35" s="243" t="s">
        <v>62</v>
      </c>
      <c r="E35" s="243">
        <f t="shared" si="2"/>
        <v>900</v>
      </c>
      <c r="F35" s="243">
        <v>0</v>
      </c>
      <c r="G35" s="933">
        <f>SUM('GF-NonDep''t'!H27)</f>
        <v>800</v>
      </c>
      <c r="H35" s="933">
        <f>SUM('GF-Parks'!H25)</f>
        <v>100</v>
      </c>
      <c r="I35" s="243">
        <v>0</v>
      </c>
      <c r="K35" s="844"/>
    </row>
    <row r="36" spans="1:12" ht="15">
      <c r="A36" s="989"/>
      <c r="B36" s="989"/>
      <c r="C36" s="990"/>
      <c r="D36" s="243" t="s">
        <v>165</v>
      </c>
      <c r="E36" s="243">
        <f t="shared" si="2"/>
        <v>1400</v>
      </c>
      <c r="F36" s="243">
        <v>0</v>
      </c>
      <c r="G36" s="933">
        <f>SUM('GF-NonDep''t'!H28)</f>
        <v>1200</v>
      </c>
      <c r="H36" s="933">
        <f>SUM('GF-Parks'!H26)</f>
        <v>200</v>
      </c>
      <c r="I36" s="243">
        <v>0</v>
      </c>
      <c r="K36" s="844"/>
    </row>
    <row r="37" spans="1:12" ht="15">
      <c r="A37" s="989"/>
      <c r="B37" s="989"/>
      <c r="C37" s="990"/>
      <c r="D37" s="243" t="s">
        <v>63</v>
      </c>
      <c r="E37" s="243">
        <f t="shared" si="2"/>
        <v>2500</v>
      </c>
      <c r="F37" s="243">
        <v>0</v>
      </c>
      <c r="G37" s="933">
        <f>SUM('GF-NonDep''t'!H29)</f>
        <v>2500</v>
      </c>
      <c r="H37" s="243">
        <v>0</v>
      </c>
      <c r="I37" s="243">
        <v>0</v>
      </c>
      <c r="K37" s="844"/>
    </row>
    <row r="38" spans="1:12" ht="15">
      <c r="A38" s="989"/>
      <c r="B38" s="989"/>
      <c r="C38" s="990"/>
      <c r="D38" s="243" t="s">
        <v>141</v>
      </c>
      <c r="E38" s="243">
        <f t="shared" si="2"/>
        <v>30500</v>
      </c>
      <c r="F38" s="789">
        <f>SUM('GF-Admin &amp; Plng'!H23)</f>
        <v>30000</v>
      </c>
      <c r="G38" s="789">
        <f>SUM('GF-NonDep''t'!H30)</f>
        <v>0</v>
      </c>
      <c r="H38" s="789">
        <f>SUM('GF-Parks'!H27)</f>
        <v>500</v>
      </c>
      <c r="I38" s="243">
        <v>0</v>
      </c>
      <c r="K38" s="844"/>
    </row>
    <row r="39" spans="1:12" ht="15">
      <c r="A39" s="989"/>
      <c r="B39" s="989"/>
      <c r="C39" s="990"/>
      <c r="D39" s="243" t="s">
        <v>23</v>
      </c>
      <c r="E39" s="243">
        <f t="shared" si="2"/>
        <v>29150</v>
      </c>
      <c r="F39" s="789">
        <f>SUM('GF-Admin &amp; Plng'!H24)</f>
        <v>27000</v>
      </c>
      <c r="G39" s="933">
        <f>SUM('GF-NonDep''t'!H31)</f>
        <v>750</v>
      </c>
      <c r="H39" s="933">
        <f>SUM('GF-Parks'!H28)</f>
        <v>1400</v>
      </c>
      <c r="I39" s="243">
        <v>0</v>
      </c>
      <c r="K39" s="844"/>
    </row>
    <row r="40" spans="1:12" ht="15" hidden="1">
      <c r="A40" s="989"/>
      <c r="B40" s="989"/>
      <c r="C40" s="990"/>
      <c r="D40" s="243" t="s">
        <v>139</v>
      </c>
      <c r="E40" s="243">
        <f t="shared" si="2"/>
        <v>0</v>
      </c>
      <c r="F40" s="243">
        <v>0</v>
      </c>
      <c r="G40" s="933">
        <f>SUM('GF-NonDep''t'!H32)</f>
        <v>0</v>
      </c>
      <c r="H40" s="243">
        <v>0</v>
      </c>
      <c r="I40" s="243">
        <v>0</v>
      </c>
      <c r="K40" s="844"/>
    </row>
    <row r="41" spans="1:12" ht="15">
      <c r="A41" s="989"/>
      <c r="B41" s="989"/>
      <c r="C41" s="990"/>
      <c r="D41" s="243" t="s">
        <v>137</v>
      </c>
      <c r="E41" s="243">
        <f t="shared" si="2"/>
        <v>1500</v>
      </c>
      <c r="F41" s="243">
        <v>0</v>
      </c>
      <c r="G41" s="243">
        <v>0</v>
      </c>
      <c r="H41" s="933">
        <f>SUM('GF-Parks'!H34)</f>
        <v>1500</v>
      </c>
      <c r="I41" s="243">
        <v>0</v>
      </c>
      <c r="K41" s="844"/>
    </row>
    <row r="42" spans="1:12" ht="15">
      <c r="A42" s="989"/>
      <c r="B42" s="989"/>
      <c r="C42" s="990"/>
      <c r="D42" s="243" t="s">
        <v>37</v>
      </c>
      <c r="E42" s="243">
        <f t="shared" si="2"/>
        <v>5350</v>
      </c>
      <c r="F42" s="243">
        <v>0</v>
      </c>
      <c r="G42" s="933">
        <f>SUM('GF-NonDep''t'!H33)</f>
        <v>5250</v>
      </c>
      <c r="H42" s="243">
        <f>'GF-Parks'!H29</f>
        <v>100</v>
      </c>
      <c r="I42" s="243">
        <v>0</v>
      </c>
      <c r="K42" s="844"/>
    </row>
    <row r="43" spans="1:12" ht="15">
      <c r="A43" s="989"/>
      <c r="B43" s="989"/>
      <c r="C43" s="990"/>
      <c r="D43" s="243" t="s">
        <v>204</v>
      </c>
      <c r="E43" s="243">
        <f t="shared" si="2"/>
        <v>6150</v>
      </c>
      <c r="F43" s="243">
        <v>0</v>
      </c>
      <c r="G43" s="933">
        <f>SUM('GF-NonDep''t'!H34)</f>
        <v>6150</v>
      </c>
      <c r="H43" s="243">
        <v>0</v>
      </c>
      <c r="I43" s="243">
        <v>0</v>
      </c>
      <c r="K43" s="844"/>
    </row>
    <row r="44" spans="1:12" ht="15">
      <c r="A44" s="989"/>
      <c r="B44" s="989"/>
      <c r="C44" s="990"/>
      <c r="D44" s="243" t="s">
        <v>38</v>
      </c>
      <c r="E44" s="243">
        <f t="shared" si="2"/>
        <v>2500</v>
      </c>
      <c r="F44" s="243">
        <v>0</v>
      </c>
      <c r="G44" s="933">
        <f>SUM('GF-NonDep''t'!H35)</f>
        <v>2500</v>
      </c>
      <c r="H44" s="243">
        <v>0</v>
      </c>
      <c r="I44" s="243">
        <v>0</v>
      </c>
      <c r="K44" s="844"/>
      <c r="L44" s="990"/>
    </row>
    <row r="45" spans="1:12" ht="15">
      <c r="A45" s="989"/>
      <c r="B45" s="989"/>
      <c r="C45" s="990"/>
      <c r="D45" s="243" t="s">
        <v>66</v>
      </c>
      <c r="E45" s="243">
        <f t="shared" si="2"/>
        <v>22200</v>
      </c>
      <c r="F45" s="243">
        <v>0</v>
      </c>
      <c r="G45" s="933">
        <f>SUM('GF-NonDep''t'!H36)</f>
        <v>22200</v>
      </c>
      <c r="H45" s="243">
        <v>0</v>
      </c>
      <c r="I45" s="243">
        <v>0</v>
      </c>
      <c r="K45" s="844"/>
    </row>
    <row r="46" spans="1:12" ht="15">
      <c r="A46" s="989"/>
      <c r="B46" s="989"/>
      <c r="C46" s="990"/>
      <c r="D46" s="243" t="s">
        <v>470</v>
      </c>
      <c r="E46" s="243">
        <f t="shared" si="2"/>
        <v>4600</v>
      </c>
      <c r="F46" s="243">
        <v>0</v>
      </c>
      <c r="G46" s="933">
        <f>'GF-NonDep''t'!H37</f>
        <v>4600</v>
      </c>
      <c r="H46" s="243">
        <v>0</v>
      </c>
      <c r="I46" s="243">
        <v>0</v>
      </c>
      <c r="K46" s="844"/>
    </row>
    <row r="47" spans="1:12" ht="15">
      <c r="A47" s="989"/>
      <c r="B47" s="989"/>
      <c r="C47" s="990"/>
      <c r="D47" s="243" t="s">
        <v>39</v>
      </c>
      <c r="E47" s="243">
        <f t="shared" si="2"/>
        <v>1325</v>
      </c>
      <c r="F47" s="933">
        <f>SUM('GF-Admin &amp; Plng'!H27)</f>
        <v>250</v>
      </c>
      <c r="G47" s="933">
        <f>SUM('GF-NonDep''t'!H38)</f>
        <v>1000</v>
      </c>
      <c r="H47" s="933">
        <f>SUM('GF-Parks'!H30)</f>
        <v>75</v>
      </c>
      <c r="I47" s="243">
        <v>0</v>
      </c>
      <c r="K47" s="844"/>
    </row>
    <row r="48" spans="1:12" ht="15" hidden="1">
      <c r="A48" s="989"/>
      <c r="B48" s="989"/>
      <c r="C48" s="990"/>
      <c r="D48" s="243" t="s">
        <v>67</v>
      </c>
      <c r="E48" s="243">
        <f t="shared" si="2"/>
        <v>0</v>
      </c>
      <c r="F48" s="243">
        <v>0</v>
      </c>
      <c r="G48" s="933">
        <f>SUM('GF-NonDep''t'!H39)</f>
        <v>0</v>
      </c>
      <c r="H48" s="933">
        <v>0</v>
      </c>
      <c r="I48" s="243">
        <v>0</v>
      </c>
      <c r="K48" s="844"/>
    </row>
    <row r="49" spans="1:11" ht="15">
      <c r="A49" s="989"/>
      <c r="B49" s="989"/>
      <c r="C49" s="990"/>
      <c r="D49" s="243" t="s">
        <v>41</v>
      </c>
      <c r="E49" s="243">
        <f t="shared" si="2"/>
        <v>1000</v>
      </c>
      <c r="F49" s="243">
        <v>0</v>
      </c>
      <c r="G49" s="933">
        <f>SUM('GF-NonDep''t'!H40)</f>
        <v>1000</v>
      </c>
      <c r="H49" s="933">
        <v>0</v>
      </c>
      <c r="I49" s="243">
        <v>0</v>
      </c>
      <c r="K49" s="844"/>
    </row>
    <row r="50" spans="1:11" ht="15">
      <c r="A50" s="989"/>
      <c r="B50" s="989"/>
      <c r="C50" s="990"/>
      <c r="D50" s="243" t="s">
        <v>209</v>
      </c>
      <c r="E50" s="243">
        <f t="shared" si="2"/>
        <v>4824</v>
      </c>
      <c r="F50" s="243">
        <v>0</v>
      </c>
      <c r="G50" s="933">
        <f>SUM('GF-NonDep''t'!H41)</f>
        <v>4824</v>
      </c>
      <c r="H50" s="933">
        <v>0</v>
      </c>
      <c r="I50" s="243">
        <v>0</v>
      </c>
      <c r="K50" s="844"/>
    </row>
    <row r="51" spans="1:11" ht="15">
      <c r="A51" s="989"/>
      <c r="B51" s="989"/>
      <c r="C51" s="990"/>
      <c r="D51" s="243" t="s">
        <v>40</v>
      </c>
      <c r="E51" s="243">
        <f t="shared" si="2"/>
        <v>12750</v>
      </c>
      <c r="F51" s="787">
        <f>SUM('GF-Admin &amp; Plng'!H28)</f>
        <v>0</v>
      </c>
      <c r="G51" s="933">
        <f>SUM('GF-NonDep''t'!H42)</f>
        <v>12000</v>
      </c>
      <c r="H51" s="933">
        <f>SUM('GF-Parks'!H31)</f>
        <v>750</v>
      </c>
      <c r="I51" s="243">
        <v>0</v>
      </c>
      <c r="K51" s="844"/>
    </row>
    <row r="52" spans="1:11" ht="15">
      <c r="A52" s="989"/>
      <c r="B52" s="989"/>
      <c r="C52" s="990"/>
      <c r="D52" s="243" t="s">
        <v>151</v>
      </c>
      <c r="E52" s="243">
        <f t="shared" si="2"/>
        <v>11000</v>
      </c>
      <c r="F52" s="787">
        <v>0</v>
      </c>
      <c r="G52" s="933">
        <f>SUM('GF-NonDep''t'!H43)</f>
        <v>9000</v>
      </c>
      <c r="H52" s="933">
        <f>SUM('GF-Parks'!H32)</f>
        <v>2000</v>
      </c>
      <c r="I52" s="243">
        <v>0</v>
      </c>
      <c r="K52" s="844"/>
    </row>
    <row r="53" spans="1:11" ht="15">
      <c r="A53" s="989"/>
      <c r="B53" s="989"/>
      <c r="C53" s="990"/>
      <c r="D53" s="243" t="s">
        <v>142</v>
      </c>
      <c r="E53" s="843">
        <f t="shared" si="2"/>
        <v>6000</v>
      </c>
      <c r="F53" s="781">
        <v>0</v>
      </c>
      <c r="G53" s="786">
        <f>SUM('GF-NonDep''t'!H45)</f>
        <v>0</v>
      </c>
      <c r="H53" s="786">
        <f>SUM('GF-Parks'!H33)</f>
        <v>6000</v>
      </c>
      <c r="I53" s="781">
        <v>0</v>
      </c>
      <c r="K53" s="844"/>
    </row>
    <row r="54" spans="1:11" ht="15">
      <c r="A54" s="989"/>
      <c r="B54" s="989"/>
      <c r="C54" s="990"/>
      <c r="D54" s="844" t="s">
        <v>49</v>
      </c>
      <c r="E54" s="783">
        <f>SUM(E21:E53)</f>
        <v>296749</v>
      </c>
      <c r="F54" s="783">
        <f>SUM(F21:F53)</f>
        <v>75200</v>
      </c>
      <c r="G54" s="783">
        <f>SUM(G21:G53)</f>
        <v>168674</v>
      </c>
      <c r="H54" s="783">
        <f>SUM(H21:H53)</f>
        <v>16875</v>
      </c>
      <c r="I54" s="783">
        <f>SUM(I21:I53)</f>
        <v>36000</v>
      </c>
      <c r="K54" s="844"/>
    </row>
    <row r="55" spans="1:11" ht="10.15" customHeight="1">
      <c r="A55" s="989"/>
      <c r="B55" s="989"/>
      <c r="C55" s="990"/>
      <c r="E55" s="267"/>
      <c r="F55" s="783"/>
      <c r="G55" s="933"/>
      <c r="H55" s="933"/>
      <c r="I55" s="783"/>
      <c r="K55" s="844"/>
    </row>
    <row r="56" spans="1:11" ht="15" hidden="1">
      <c r="A56" s="989"/>
      <c r="B56" s="989"/>
      <c r="C56" s="990"/>
      <c r="D56" s="844" t="s">
        <v>100</v>
      </c>
      <c r="E56" s="267"/>
      <c r="F56" s="783"/>
      <c r="G56" s="933"/>
      <c r="H56" s="933"/>
      <c r="I56" s="783"/>
      <c r="K56" s="844"/>
    </row>
    <row r="57" spans="1:11" ht="15" hidden="1">
      <c r="A57" s="989"/>
      <c r="B57" s="989"/>
      <c r="C57" s="990"/>
      <c r="D57" s="243" t="s">
        <v>146</v>
      </c>
      <c r="E57" s="843">
        <f t="shared" ref="E57" si="3">SUM(F57:I57)</f>
        <v>700000</v>
      </c>
      <c r="F57" s="843">
        <v>0</v>
      </c>
      <c r="G57" s="843">
        <f>'GF-NonDep''t'!H52</f>
        <v>700000</v>
      </c>
      <c r="H57" s="843">
        <v>0</v>
      </c>
      <c r="I57" s="843">
        <v>0</v>
      </c>
      <c r="K57" s="844"/>
    </row>
    <row r="58" spans="1:11" ht="15" hidden="1">
      <c r="A58" s="989"/>
      <c r="B58" s="989"/>
      <c r="C58" s="990"/>
      <c r="D58" s="243" t="s">
        <v>156</v>
      </c>
      <c r="E58" s="243">
        <v>0</v>
      </c>
      <c r="F58" s="243">
        <v>0</v>
      </c>
      <c r="G58" s="243">
        <v>0</v>
      </c>
      <c r="H58" s="243">
        <v>0</v>
      </c>
      <c r="I58" s="243">
        <v>0</v>
      </c>
      <c r="K58" s="844"/>
    </row>
    <row r="59" spans="1:11" ht="15" hidden="1">
      <c r="A59" s="989"/>
      <c r="B59" s="989"/>
      <c r="C59" s="990"/>
      <c r="D59" s="243" t="s">
        <v>74</v>
      </c>
      <c r="E59" s="243">
        <f>SUM(F59:I59)</f>
        <v>0</v>
      </c>
      <c r="F59" s="243">
        <v>0</v>
      </c>
      <c r="G59" s="243">
        <v>0</v>
      </c>
      <c r="H59" s="933">
        <f>SUM('GF-Parks'!H38)</f>
        <v>0</v>
      </c>
      <c r="I59" s="243">
        <v>0</v>
      </c>
      <c r="K59" s="844"/>
    </row>
    <row r="60" spans="1:11" ht="15" hidden="1">
      <c r="A60" s="989"/>
      <c r="B60" s="989"/>
      <c r="C60" s="990"/>
      <c r="D60" s="243" t="s">
        <v>75</v>
      </c>
      <c r="E60" s="243">
        <v>0</v>
      </c>
      <c r="F60" s="243">
        <v>0</v>
      </c>
      <c r="G60" s="243">
        <v>0</v>
      </c>
      <c r="H60" s="243">
        <v>0</v>
      </c>
      <c r="I60" s="243">
        <v>0</v>
      </c>
      <c r="K60" s="844"/>
    </row>
    <row r="61" spans="1:11" ht="15" hidden="1">
      <c r="A61" s="989"/>
      <c r="B61" s="989"/>
      <c r="C61" s="990"/>
      <c r="D61" s="243" t="s">
        <v>77</v>
      </c>
      <c r="E61" s="243">
        <v>0</v>
      </c>
      <c r="F61" s="243">
        <v>0</v>
      </c>
      <c r="G61" s="243">
        <v>0</v>
      </c>
      <c r="H61" s="243">
        <v>0</v>
      </c>
      <c r="I61" s="243">
        <v>0</v>
      </c>
      <c r="K61" s="844"/>
    </row>
    <row r="62" spans="1:11" ht="15" hidden="1">
      <c r="A62" s="989"/>
      <c r="B62" s="989"/>
      <c r="C62" s="990"/>
      <c r="D62" s="243" t="s">
        <v>157</v>
      </c>
      <c r="E62" s="843">
        <v>0</v>
      </c>
      <c r="F62" s="843">
        <v>0</v>
      </c>
      <c r="G62" s="843">
        <v>0</v>
      </c>
      <c r="H62" s="843">
        <v>0</v>
      </c>
      <c r="I62" s="843">
        <v>0</v>
      </c>
      <c r="K62" s="844"/>
    </row>
    <row r="63" spans="1:11" ht="15" hidden="1">
      <c r="A63" s="989"/>
      <c r="B63" s="989"/>
      <c r="C63" s="990"/>
      <c r="D63" s="844" t="s">
        <v>55</v>
      </c>
      <c r="E63" s="267">
        <f>SUM(E57:E62)</f>
        <v>700000</v>
      </c>
      <c r="F63" s="783">
        <f>SUM(F57:F62)</f>
        <v>0</v>
      </c>
      <c r="G63" s="783">
        <f>SUM(G57:G62)</f>
        <v>700000</v>
      </c>
      <c r="H63" s="783">
        <f>SUM(H57:H62)</f>
        <v>0</v>
      </c>
      <c r="I63" s="783">
        <f>SUM(I57:I62)</f>
        <v>0</v>
      </c>
      <c r="K63" s="844"/>
    </row>
    <row r="64" spans="1:11" ht="10.15" hidden="1" customHeight="1">
      <c r="A64" s="989"/>
      <c r="B64" s="989"/>
      <c r="C64" s="990"/>
      <c r="E64" s="258"/>
      <c r="F64" s="789"/>
      <c r="G64" s="933"/>
      <c r="H64" s="933"/>
      <c r="I64" s="789"/>
      <c r="K64" s="844"/>
    </row>
    <row r="65" spans="1:14" ht="15">
      <c r="A65" s="989"/>
      <c r="B65" s="989"/>
      <c r="C65" s="990"/>
      <c r="D65" s="844" t="s">
        <v>191</v>
      </c>
      <c r="E65" s="267"/>
      <c r="F65" s="783"/>
      <c r="G65" s="933"/>
      <c r="H65" s="933"/>
      <c r="I65" s="783"/>
      <c r="K65" s="844"/>
    </row>
    <row r="66" spans="1:14" ht="15">
      <c r="A66" s="989"/>
      <c r="B66" s="989"/>
      <c r="C66" s="990"/>
      <c r="D66" s="243" t="s">
        <v>388</v>
      </c>
      <c r="E66" s="843">
        <f t="shared" ref="E66:E72" si="4">SUM(F66:I66)</f>
        <v>22254</v>
      </c>
      <c r="F66" s="271">
        <v>0</v>
      </c>
      <c r="G66" s="271">
        <f>'GF-NonDep''t'!H63</f>
        <v>22254</v>
      </c>
      <c r="H66" s="271">
        <f>SUM('GF Combined Expenses'!L71)</f>
        <v>0</v>
      </c>
      <c r="I66" s="271">
        <v>0</v>
      </c>
      <c r="K66" s="844"/>
    </row>
    <row r="67" spans="1:14" ht="15" hidden="1">
      <c r="A67" s="989"/>
      <c r="B67" s="989"/>
      <c r="C67" s="990"/>
      <c r="D67" s="243" t="s">
        <v>146</v>
      </c>
      <c r="E67" s="243">
        <f t="shared" si="4"/>
        <v>0</v>
      </c>
      <c r="F67" s="243">
        <v>0</v>
      </c>
      <c r="G67" s="243">
        <v>0</v>
      </c>
      <c r="H67" s="243">
        <f>SUM(I67:L67)</f>
        <v>0</v>
      </c>
      <c r="I67" s="243">
        <f>SUM(J67:M67)</f>
        <v>0</v>
      </c>
      <c r="K67" s="844"/>
    </row>
    <row r="68" spans="1:14" ht="15" hidden="1">
      <c r="A68" s="989"/>
      <c r="B68" s="989"/>
      <c r="C68" s="990"/>
      <c r="D68" s="243" t="s">
        <v>156</v>
      </c>
      <c r="E68" s="243">
        <f t="shared" si="4"/>
        <v>0</v>
      </c>
      <c r="F68" s="243">
        <v>0</v>
      </c>
      <c r="G68" s="243">
        <v>0</v>
      </c>
      <c r="H68" s="243">
        <f>SUM(I68:L68)</f>
        <v>0</v>
      </c>
      <c r="I68" s="243">
        <f>SUM(J68:M68)</f>
        <v>0</v>
      </c>
      <c r="K68" s="844"/>
    </row>
    <row r="69" spans="1:14" ht="15" hidden="1">
      <c r="A69" s="989"/>
      <c r="B69" s="989"/>
      <c r="C69" s="990"/>
      <c r="D69" s="243" t="s">
        <v>74</v>
      </c>
      <c r="E69" s="243">
        <f t="shared" si="4"/>
        <v>0</v>
      </c>
      <c r="F69" s="243">
        <v>0</v>
      </c>
      <c r="G69" s="243">
        <v>0</v>
      </c>
      <c r="H69" s="933">
        <f>SUM('GF-Parks'!H53)</f>
        <v>0</v>
      </c>
      <c r="I69" s="243">
        <f>SUM(J69:M69)</f>
        <v>0</v>
      </c>
      <c r="K69" s="844"/>
    </row>
    <row r="70" spans="1:14" ht="15" hidden="1">
      <c r="A70" s="989"/>
      <c r="B70" s="989"/>
      <c r="C70" s="990"/>
      <c r="D70" s="243" t="s">
        <v>75</v>
      </c>
      <c r="E70" s="243">
        <f t="shared" si="4"/>
        <v>0</v>
      </c>
      <c r="F70" s="243">
        <v>0</v>
      </c>
      <c r="G70" s="243">
        <v>0</v>
      </c>
      <c r="H70" s="243">
        <f>SUM(I70:L70)</f>
        <v>0</v>
      </c>
      <c r="I70" s="243">
        <f>SUM(J70:M70)</f>
        <v>0</v>
      </c>
      <c r="K70" s="844"/>
    </row>
    <row r="71" spans="1:14" ht="15" hidden="1">
      <c r="A71" s="989"/>
      <c r="B71" s="989"/>
      <c r="C71" s="990"/>
      <c r="D71" s="243" t="s">
        <v>77</v>
      </c>
      <c r="E71" s="243">
        <f t="shared" si="4"/>
        <v>0</v>
      </c>
      <c r="F71" s="243">
        <v>0</v>
      </c>
      <c r="G71" s="243">
        <v>0</v>
      </c>
      <c r="H71" s="243">
        <f>SUM(I71:L71)</f>
        <v>0</v>
      </c>
      <c r="I71" s="243">
        <f>SUM(J71:M71)</f>
        <v>0</v>
      </c>
      <c r="K71" s="844"/>
    </row>
    <row r="72" spans="1:14" ht="15" hidden="1">
      <c r="A72" s="989"/>
      <c r="B72" s="989"/>
      <c r="C72" s="990"/>
      <c r="D72" s="243" t="s">
        <v>157</v>
      </c>
      <c r="E72" s="843">
        <f t="shared" si="4"/>
        <v>0</v>
      </c>
      <c r="F72" s="781">
        <v>0</v>
      </c>
      <c r="G72" s="781">
        <v>0</v>
      </c>
      <c r="H72" s="786">
        <v>0</v>
      </c>
      <c r="I72" s="781">
        <f>SUM('GF-Public Safety'!H50)</f>
        <v>0</v>
      </c>
      <c r="K72" s="844"/>
    </row>
    <row r="73" spans="1:14" ht="15">
      <c r="A73" s="989"/>
      <c r="B73" s="989"/>
      <c r="C73" s="990"/>
      <c r="D73" s="844" t="s">
        <v>340</v>
      </c>
      <c r="E73" s="267">
        <f>SUM(E66:E72)</f>
        <v>22254</v>
      </c>
      <c r="F73" s="267">
        <f t="shared" ref="F73:I73" si="5">SUM(F66:F72)</f>
        <v>0</v>
      </c>
      <c r="G73" s="267">
        <f t="shared" si="5"/>
        <v>22254</v>
      </c>
      <c r="H73" s="267">
        <f t="shared" si="5"/>
        <v>0</v>
      </c>
      <c r="I73" s="267">
        <f t="shared" si="5"/>
        <v>0</v>
      </c>
      <c r="K73" s="844"/>
    </row>
    <row r="74" spans="1:14" ht="15">
      <c r="A74" s="989"/>
      <c r="B74" s="989"/>
      <c r="C74" s="990"/>
      <c r="D74" s="844"/>
      <c r="E74" s="267"/>
      <c r="F74" s="783"/>
      <c r="G74" s="783"/>
      <c r="H74" s="783"/>
      <c r="I74" s="783"/>
      <c r="K74" s="844"/>
    </row>
    <row r="75" spans="1:14" ht="15">
      <c r="A75" s="989">
        <v>52</v>
      </c>
      <c r="B75" s="989">
        <v>0</v>
      </c>
      <c r="C75" s="990">
        <v>5012</v>
      </c>
      <c r="D75" s="844" t="s">
        <v>24</v>
      </c>
      <c r="E75" s="258"/>
      <c r="F75" s="789"/>
      <c r="G75" s="933"/>
      <c r="H75" s="933"/>
      <c r="I75" s="789"/>
      <c r="K75" s="844"/>
      <c r="L75" s="992"/>
      <c r="M75" s="992"/>
      <c r="N75" s="844"/>
    </row>
    <row r="76" spans="1:14" ht="15">
      <c r="A76" s="989">
        <v>52</v>
      </c>
      <c r="B76" s="989">
        <v>0</v>
      </c>
      <c r="C76" s="990">
        <v>5015</v>
      </c>
      <c r="D76" s="243" t="s">
        <v>110</v>
      </c>
      <c r="E76" s="243">
        <f t="shared" ref="E76:E79" si="6">SUM(F76:I76)</f>
        <v>9577</v>
      </c>
      <c r="F76" s="787">
        <v>0</v>
      </c>
      <c r="G76" s="787">
        <f>'GF-NonDep''t'!H56</f>
        <v>9577</v>
      </c>
      <c r="H76" s="735">
        <v>0</v>
      </c>
      <c r="I76" s="787">
        <v>0</v>
      </c>
      <c r="K76" s="844"/>
    </row>
    <row r="77" spans="1:14" ht="15">
      <c r="A77" s="989"/>
      <c r="B77" s="989"/>
      <c r="C77" s="990"/>
      <c r="D77" s="243" t="s">
        <v>537</v>
      </c>
      <c r="E77" s="243">
        <f t="shared" si="6"/>
        <v>38307</v>
      </c>
      <c r="F77" s="787"/>
      <c r="G77" s="787">
        <f>'GF-NonDep''t'!H57</f>
        <v>38307</v>
      </c>
      <c r="H77" s="735"/>
      <c r="I77" s="787"/>
      <c r="K77" s="844"/>
    </row>
    <row r="78" spans="1:14" ht="15">
      <c r="A78" s="989"/>
      <c r="B78" s="989"/>
      <c r="C78" s="990"/>
      <c r="D78" s="243" t="s">
        <v>135</v>
      </c>
      <c r="E78" s="843">
        <f t="shared" si="6"/>
        <v>5000</v>
      </c>
      <c r="F78" s="781">
        <v>0</v>
      </c>
      <c r="G78" s="781">
        <f>'GF-NonDep''t'!H59</f>
        <v>0</v>
      </c>
      <c r="H78" s="786">
        <f>'GF-Parks'!H46</f>
        <v>5000</v>
      </c>
      <c r="I78" s="781">
        <f>'GF-Public Safety'!H45</f>
        <v>0</v>
      </c>
      <c r="K78" s="844"/>
    </row>
    <row r="79" spans="1:14" s="844" customFormat="1" ht="15">
      <c r="A79" s="992">
        <v>52</v>
      </c>
      <c r="B79" s="992">
        <v>0</v>
      </c>
      <c r="C79" s="999">
        <v>5137</v>
      </c>
      <c r="D79" s="844" t="s">
        <v>25</v>
      </c>
      <c r="E79" s="844">
        <f t="shared" si="6"/>
        <v>52884</v>
      </c>
      <c r="F79" s="783">
        <f>SUM(F76:F78)</f>
        <v>0</v>
      </c>
      <c r="G79" s="783">
        <f>SUM(G76:G78)</f>
        <v>47884</v>
      </c>
      <c r="H79" s="783">
        <f>SUM(H76:H78)</f>
        <v>5000</v>
      </c>
      <c r="I79" s="783">
        <f>SUM(I76:I78)</f>
        <v>0</v>
      </c>
      <c r="L79" s="989"/>
      <c r="M79" s="989"/>
      <c r="N79" s="243"/>
    </row>
    <row r="80" spans="1:14" ht="10.15" customHeight="1">
      <c r="A80" s="989"/>
      <c r="B80" s="989"/>
      <c r="C80" s="990"/>
      <c r="E80" s="258"/>
      <c r="F80" s="789"/>
      <c r="G80" s="933"/>
      <c r="H80" s="789"/>
      <c r="I80" s="789"/>
      <c r="K80" s="844"/>
    </row>
    <row r="81" spans="1:14" ht="15">
      <c r="A81" s="989">
        <v>52</v>
      </c>
      <c r="B81" s="989">
        <v>0</v>
      </c>
      <c r="C81" s="990">
        <v>5225</v>
      </c>
      <c r="D81" s="243" t="s">
        <v>26</v>
      </c>
      <c r="E81" s="243">
        <f>'Combined GF Revenues'!H72</f>
        <v>100000</v>
      </c>
      <c r="F81" s="789">
        <v>0</v>
      </c>
      <c r="G81" s="789">
        <v>0</v>
      </c>
      <c r="H81" s="789">
        <v>0</v>
      </c>
      <c r="I81" s="789">
        <v>0</v>
      </c>
      <c r="K81" s="844"/>
    </row>
    <row r="82" spans="1:14" ht="10.15" customHeight="1">
      <c r="A82" s="989">
        <v>52</v>
      </c>
      <c r="B82" s="989">
        <v>0</v>
      </c>
      <c r="C82" s="990">
        <v>5245</v>
      </c>
      <c r="E82" s="258"/>
      <c r="F82" s="789"/>
      <c r="G82" s="933"/>
      <c r="H82" s="933"/>
      <c r="I82" s="789"/>
      <c r="K82" s="844"/>
      <c r="L82" s="992"/>
      <c r="M82" s="992"/>
      <c r="N82" s="844"/>
    </row>
    <row r="83" spans="1:14" ht="15.75" thickBot="1">
      <c r="A83" s="989">
        <v>52</v>
      </c>
      <c r="B83" s="989">
        <v>0</v>
      </c>
      <c r="C83" s="990">
        <v>5265</v>
      </c>
      <c r="D83" s="243" t="s">
        <v>229</v>
      </c>
      <c r="E83" s="276">
        <f t="shared" ref="E83" si="7">SUM(F83:I83)</f>
        <v>0</v>
      </c>
      <c r="F83" s="53">
        <v>0</v>
      </c>
      <c r="G83" s="53">
        <v>0</v>
      </c>
      <c r="H83" s="53">
        <v>0</v>
      </c>
      <c r="I83" s="53">
        <v>0</v>
      </c>
      <c r="K83" s="844"/>
    </row>
    <row r="84" spans="1:14" s="844" customFormat="1" ht="16.5" thickTop="1" thickBot="1">
      <c r="A84" s="992">
        <v>52</v>
      </c>
      <c r="B84" s="992">
        <v>0</v>
      </c>
      <c r="C84" s="999">
        <v>5285</v>
      </c>
      <c r="D84" s="844" t="s">
        <v>28</v>
      </c>
      <c r="E84" s="532">
        <f>SUM(E79+E63+E54+E18+E81+E83+E73)</f>
        <v>1355124.3669094772</v>
      </c>
      <c r="F84" s="533">
        <f>SUM(F18+F54+F63+F79+F81+F83+F73)</f>
        <v>202636.44156196582</v>
      </c>
      <c r="G84" s="533">
        <f>G54+G63+G73+G79+G81+G83</f>
        <v>938812</v>
      </c>
      <c r="H84" s="533">
        <f>SUM(H18+H54+H63+H79+H81+H83+H73)</f>
        <v>68272.513347511325</v>
      </c>
      <c r="I84" s="533">
        <f>SUM(I18+I54+I63+I79+I81+I83+I73)</f>
        <v>45403.411999999997</v>
      </c>
      <c r="L84" s="992"/>
      <c r="M84" s="992"/>
    </row>
    <row r="85" spans="1:14" ht="15" thickTop="1"/>
    <row r="86" spans="1:14">
      <c r="E86" s="243">
        <f t="shared" ref="E86" si="8">SUM(F86:I86)</f>
        <v>1179986.3669094772</v>
      </c>
      <c r="F86" s="243">
        <f>F84-F79-F73</f>
        <v>202636.44156196582</v>
      </c>
      <c r="G86" s="243">
        <f>G84-G79-G73</f>
        <v>868674</v>
      </c>
      <c r="H86" s="243">
        <f>H84-H79-H73</f>
        <v>63272.513347511325</v>
      </c>
      <c r="I86" s="243">
        <f>I84-I79-I73</f>
        <v>45403.411999999997</v>
      </c>
    </row>
  </sheetData>
  <mergeCells count="2">
    <mergeCell ref="D1:I1"/>
    <mergeCell ref="A3:I3"/>
  </mergeCells>
  <phoneticPr fontId="0" type="noConversion"/>
  <printOptions horizontalCentered="1"/>
  <pageMargins left="0.7" right="0.7" top="0.75" bottom="0.75" header="0.3" footer="0.3"/>
  <pageSetup scale="74" orientation="portrait" horizontalDpi="4294967293" r:id="rId1"/>
  <headerFooter>
    <oddFooter>&amp;C&amp;F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H15" sqref="H15"/>
    </sheetView>
  </sheetViews>
  <sheetFormatPr defaultColWidth="11.42578125" defaultRowHeight="12.75"/>
  <cols>
    <col min="2" max="2" width="12.28515625" bestFit="1" customWidth="1"/>
    <col min="6" max="6" width="2.7109375" style="777" customWidth="1"/>
  </cols>
  <sheetData>
    <row r="1" spans="1:8">
      <c r="A1" t="s">
        <v>191</v>
      </c>
    </row>
    <row r="3" spans="1:8">
      <c r="A3" s="779" t="s">
        <v>468</v>
      </c>
    </row>
    <row r="4" spans="1:8">
      <c r="A4" t="s">
        <v>389</v>
      </c>
      <c r="B4" s="233">
        <v>100000</v>
      </c>
    </row>
    <row r="5" spans="1:8">
      <c r="A5" t="s">
        <v>390</v>
      </c>
      <c r="B5" s="834">
        <v>3.9800000000000002E-2</v>
      </c>
      <c r="C5" s="698"/>
    </row>
    <row r="6" spans="1:8">
      <c r="A6" t="s">
        <v>391</v>
      </c>
      <c r="B6">
        <v>5</v>
      </c>
      <c r="C6" t="s">
        <v>392</v>
      </c>
    </row>
    <row r="7" spans="1:8" s="403" customFormat="1">
      <c r="F7" s="777"/>
      <c r="G7" s="779" t="s">
        <v>447</v>
      </c>
    </row>
    <row r="8" spans="1:8">
      <c r="B8" t="s">
        <v>390</v>
      </c>
      <c r="C8" t="s">
        <v>393</v>
      </c>
      <c r="D8" t="s">
        <v>394</v>
      </c>
      <c r="E8" t="s">
        <v>395</v>
      </c>
      <c r="G8" s="794" t="s">
        <v>448</v>
      </c>
    </row>
    <row r="9" spans="1:8">
      <c r="A9" s="828">
        <v>43466</v>
      </c>
      <c r="B9" s="829">
        <f>B4*$B$5/2</f>
        <v>1990</v>
      </c>
      <c r="C9" s="829">
        <f>E9-B9</f>
        <v>9136.83</v>
      </c>
      <c r="D9" s="829">
        <f>B4-C9</f>
        <v>90863.17</v>
      </c>
      <c r="E9" s="829">
        <v>11126.83</v>
      </c>
      <c r="F9" s="829"/>
      <c r="G9" s="973">
        <f>E9</f>
        <v>11126.83</v>
      </c>
      <c r="H9" s="779" t="s">
        <v>508</v>
      </c>
    </row>
    <row r="10" spans="1:8">
      <c r="A10" s="441">
        <v>43647</v>
      </c>
      <c r="B10" s="214">
        <f>D9*$B$5/2</f>
        <v>1808.177083</v>
      </c>
      <c r="C10" s="214">
        <f t="shared" ref="C10:C17" si="0">E10-B10</f>
        <v>9318.6529169999994</v>
      </c>
      <c r="D10" s="214">
        <f>D9-C10</f>
        <v>81544.517082999999</v>
      </c>
      <c r="E10" s="415">
        <f>E9</f>
        <v>11126.83</v>
      </c>
      <c r="F10" s="803"/>
      <c r="G10" s="974"/>
    </row>
    <row r="11" spans="1:8">
      <c r="A11" s="828">
        <f>A10+182+1</f>
        <v>43830</v>
      </c>
      <c r="B11" s="829">
        <f t="shared" ref="B11:B18" si="1">D10*$B$5/2</f>
        <v>1622.7358899517001</v>
      </c>
      <c r="C11" s="829">
        <f t="shared" si="0"/>
        <v>9504.0941100482996</v>
      </c>
      <c r="D11" s="829">
        <f t="shared" ref="D11:D18" si="2">D10-C11</f>
        <v>72040.422972951696</v>
      </c>
      <c r="E11" s="830">
        <f t="shared" ref="E11:E17" si="3">E10</f>
        <v>11126.83</v>
      </c>
      <c r="F11" s="830"/>
      <c r="G11" s="973">
        <f>E10+E11</f>
        <v>22253.66</v>
      </c>
      <c r="H11" s="779" t="s">
        <v>508</v>
      </c>
    </row>
    <row r="12" spans="1:8">
      <c r="A12" s="441">
        <f>A11+183</f>
        <v>44013</v>
      </c>
      <c r="B12" s="214">
        <f t="shared" si="1"/>
        <v>1433.6044171617389</v>
      </c>
      <c r="C12" s="214">
        <f t="shared" si="0"/>
        <v>9693.2255828382604</v>
      </c>
      <c r="D12" s="214">
        <f t="shared" si="2"/>
        <v>62347.197390113433</v>
      </c>
      <c r="E12" s="415">
        <f t="shared" si="3"/>
        <v>11126.83</v>
      </c>
      <c r="F12" s="803"/>
      <c r="G12" s="974"/>
    </row>
    <row r="13" spans="1:8">
      <c r="A13" s="828">
        <f>A12+183</f>
        <v>44196</v>
      </c>
      <c r="B13" s="829">
        <f t="shared" si="1"/>
        <v>1240.7092280632573</v>
      </c>
      <c r="C13" s="829">
        <f t="shared" si="0"/>
        <v>9886.120771936743</v>
      </c>
      <c r="D13" s="829">
        <f t="shared" si="2"/>
        <v>52461.076618176688</v>
      </c>
      <c r="E13" s="830">
        <f t="shared" si="3"/>
        <v>11126.83</v>
      </c>
      <c r="F13" s="830"/>
      <c r="G13" s="973">
        <f>E12+E13</f>
        <v>22253.66</v>
      </c>
      <c r="H13" s="779" t="s">
        <v>508</v>
      </c>
    </row>
    <row r="14" spans="1:8">
      <c r="A14" s="441">
        <f>A13+183-1</f>
        <v>44378</v>
      </c>
      <c r="B14" s="214">
        <f t="shared" si="1"/>
        <v>1043.9754247017161</v>
      </c>
      <c r="C14" s="214">
        <f t="shared" si="0"/>
        <v>10082.854575298285</v>
      </c>
      <c r="D14" s="214">
        <f t="shared" si="2"/>
        <v>42378.222042878406</v>
      </c>
      <c r="E14" s="415">
        <f t="shared" si="3"/>
        <v>11126.83</v>
      </c>
      <c r="F14" s="803"/>
      <c r="G14" s="974"/>
    </row>
    <row r="15" spans="1:8">
      <c r="A15" s="828">
        <f>A14+182+1</f>
        <v>44561</v>
      </c>
      <c r="B15" s="829">
        <f t="shared" si="1"/>
        <v>843.32661865328032</v>
      </c>
      <c r="C15" s="829">
        <f t="shared" si="0"/>
        <v>10283.50338134672</v>
      </c>
      <c r="D15" s="829">
        <f t="shared" si="2"/>
        <v>32094.718661531686</v>
      </c>
      <c r="E15" s="830">
        <f t="shared" si="3"/>
        <v>11126.83</v>
      </c>
      <c r="F15" s="830"/>
      <c r="G15" s="830">
        <f>E14+E15</f>
        <v>22253.66</v>
      </c>
      <c r="H15" s="779" t="s">
        <v>509</v>
      </c>
    </row>
    <row r="16" spans="1:8">
      <c r="A16" s="441">
        <f>A15+183-1</f>
        <v>44743</v>
      </c>
      <c r="B16" s="214">
        <f>D15*$B$5/2+0.01</f>
        <v>638.69490136448053</v>
      </c>
      <c r="C16" s="214">
        <f>E16-B16-0.01</f>
        <v>10488.125098635519</v>
      </c>
      <c r="D16" s="214">
        <f t="shared" si="2"/>
        <v>21606.593562896167</v>
      </c>
      <c r="E16" s="415">
        <f t="shared" si="3"/>
        <v>11126.83</v>
      </c>
      <c r="F16" s="803"/>
      <c r="G16" s="415"/>
    </row>
    <row r="17" spans="1:8">
      <c r="A17" s="828">
        <f>A16+182+1</f>
        <v>44926</v>
      </c>
      <c r="B17" s="829">
        <f t="shared" si="1"/>
        <v>429.97121190163375</v>
      </c>
      <c r="C17" s="829">
        <f t="shared" si="0"/>
        <v>10696.858788098367</v>
      </c>
      <c r="D17" s="829">
        <f t="shared" si="2"/>
        <v>10909.7347747978</v>
      </c>
      <c r="E17" s="830">
        <f t="shared" si="3"/>
        <v>11126.83</v>
      </c>
      <c r="F17" s="830"/>
      <c r="G17" s="830">
        <f>E16+E17</f>
        <v>22253.66</v>
      </c>
      <c r="H17" s="779" t="s">
        <v>510</v>
      </c>
    </row>
    <row r="18" spans="1:8">
      <c r="A18" s="831">
        <f>A17+183-1</f>
        <v>45108</v>
      </c>
      <c r="B18" s="832">
        <f t="shared" si="1"/>
        <v>217.10372201847625</v>
      </c>
      <c r="C18" s="832">
        <f>E18-B18+0.01</f>
        <v>10909.736277981523</v>
      </c>
      <c r="D18" s="832">
        <f t="shared" si="2"/>
        <v>-1.5031837228889344E-3</v>
      </c>
      <c r="E18" s="833">
        <f>E17</f>
        <v>11126.83</v>
      </c>
      <c r="F18" s="833"/>
      <c r="G18" s="833">
        <f>E18</f>
        <v>11126.83</v>
      </c>
      <c r="H18" s="779" t="s">
        <v>511</v>
      </c>
    </row>
    <row r="19" spans="1:8" s="777" customFormat="1">
      <c r="A19" s="923"/>
      <c r="B19" s="924"/>
      <c r="C19" s="924"/>
      <c r="D19" s="924"/>
      <c r="E19" s="925"/>
      <c r="F19" s="925"/>
      <c r="G19" s="925"/>
    </row>
    <row r="20" spans="1:8">
      <c r="A20" s="654" t="s">
        <v>243</v>
      </c>
      <c r="B20" s="415"/>
      <c r="C20" s="415"/>
      <c r="D20" s="415"/>
      <c r="E20" s="415">
        <f>SUM(E9:E18)</f>
        <v>111268.3</v>
      </c>
      <c r="F20" s="803"/>
      <c r="G20" s="415"/>
    </row>
    <row r="21" spans="1:8">
      <c r="B21" s="415"/>
      <c r="C21" s="415"/>
      <c r="D21" s="415"/>
      <c r="E21" s="415"/>
      <c r="F21" s="803"/>
      <c r="G21" s="4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3"/>
  <sheetViews>
    <sheetView topLeftCell="A4" zoomScale="80" zoomScaleNormal="80" zoomScalePageLayoutView="80" workbookViewId="0">
      <selection activeCell="H10" sqref="H10"/>
    </sheetView>
  </sheetViews>
  <sheetFormatPr defaultColWidth="14.7109375" defaultRowHeight="15"/>
  <cols>
    <col min="1" max="3" width="10.7109375" style="698" customWidth="1"/>
    <col min="4" max="4" width="44.28515625" style="806" customWidth="1"/>
    <col min="5" max="6" width="14" style="806" customWidth="1"/>
    <col min="7" max="7" width="14" style="956" customWidth="1"/>
    <col min="8" max="8" width="14" style="593" customWidth="1"/>
    <col min="9" max="9" width="4.7109375" style="698" customWidth="1"/>
    <col min="10" max="11" width="14" style="806" customWidth="1"/>
    <col min="12" max="16384" width="14.7109375" style="698"/>
  </cols>
  <sheetData>
    <row r="1" spans="1:15" ht="18" customHeight="1">
      <c r="D1" s="1072" t="s">
        <v>0</v>
      </c>
      <c r="E1" s="1072"/>
      <c r="F1" s="1072"/>
      <c r="G1" s="1072"/>
      <c r="H1" s="1072"/>
      <c r="I1" s="1072"/>
      <c r="J1" s="1072"/>
      <c r="K1" s="1072"/>
      <c r="M1" s="792" t="s">
        <v>381</v>
      </c>
      <c r="N1" s="792" t="s">
        <v>382</v>
      </c>
    </row>
    <row r="2" spans="1:15" ht="18" customHeight="1">
      <c r="D2" s="1084" t="str">
        <f>'GF-NonDep''t'!D2:K2</f>
        <v>FISCAL YEAR 2022-2023</v>
      </c>
      <c r="E2" s="1084"/>
      <c r="F2" s="1084"/>
      <c r="G2" s="1084"/>
      <c r="H2" s="1084"/>
      <c r="I2" s="1084"/>
      <c r="J2" s="1084"/>
      <c r="K2" s="1084"/>
      <c r="M2" s="792" t="s">
        <v>568</v>
      </c>
      <c r="N2" s="792" t="s">
        <v>568</v>
      </c>
    </row>
    <row r="3" spans="1:15" ht="18" customHeight="1">
      <c r="D3" s="94"/>
      <c r="E3" s="94"/>
      <c r="F3" s="94"/>
      <c r="G3" s="94"/>
      <c r="H3" s="94"/>
      <c r="I3" s="432"/>
      <c r="J3" s="94"/>
      <c r="K3" s="94"/>
    </row>
    <row r="4" spans="1:15" s="806" customFormat="1" ht="18.75" customHeight="1">
      <c r="D4" s="1083" t="s">
        <v>304</v>
      </c>
      <c r="E4" s="1083"/>
      <c r="F4" s="1083"/>
      <c r="G4" s="1083"/>
      <c r="H4" s="1083"/>
      <c r="I4" s="1083"/>
      <c r="J4" s="1083"/>
      <c r="K4" s="1083"/>
      <c r="L4" s="1085"/>
      <c r="M4" s="1085"/>
      <c r="N4" s="1085"/>
      <c r="O4" s="1085"/>
    </row>
    <row r="5" spans="1:15" ht="18" customHeight="1">
      <c r="D5" s="94"/>
      <c r="E5" s="94"/>
      <c r="F5" s="94"/>
      <c r="G5" s="94"/>
      <c r="H5" s="94"/>
      <c r="I5" s="433"/>
      <c r="J5" s="94"/>
      <c r="K5" s="94"/>
    </row>
    <row r="6" spans="1:15" s="954" customFormat="1" ht="16.5" customHeight="1">
      <c r="D6" s="568"/>
      <c r="E6" s="569" t="s">
        <v>54</v>
      </c>
      <c r="F6" s="569" t="s">
        <v>54</v>
      </c>
      <c r="G6" s="545" t="s">
        <v>1</v>
      </c>
      <c r="H6" s="545" t="s">
        <v>2</v>
      </c>
      <c r="I6" s="435"/>
      <c r="J6" s="569" t="s">
        <v>376</v>
      </c>
      <c r="K6" s="545" t="s">
        <v>377</v>
      </c>
    </row>
    <row r="7" spans="1:15" s="954" customFormat="1" ht="15.75" customHeight="1">
      <c r="D7" s="568"/>
      <c r="E7" s="569"/>
      <c r="F7" s="569"/>
      <c r="G7" s="545" t="s">
        <v>3</v>
      </c>
      <c r="H7" s="545" t="s">
        <v>56</v>
      </c>
      <c r="I7" s="435"/>
      <c r="J7" s="569" t="s">
        <v>56</v>
      </c>
      <c r="K7" s="545" t="s">
        <v>56</v>
      </c>
    </row>
    <row r="8" spans="1:15" s="792" customFormat="1" ht="15.75">
      <c r="D8" s="568"/>
      <c r="E8" s="549" t="s">
        <v>330</v>
      </c>
      <c r="F8" s="549" t="s">
        <v>366</v>
      </c>
      <c r="G8" s="549" t="s">
        <v>472</v>
      </c>
      <c r="H8" s="1021" t="s">
        <v>473</v>
      </c>
      <c r="I8" s="436"/>
      <c r="J8" s="548" t="str">
        <f>H8</f>
        <v>2022-23</v>
      </c>
      <c r="K8" s="548" t="str">
        <f>J8</f>
        <v>2022-23</v>
      </c>
    </row>
    <row r="9" spans="1:15" ht="18" customHeight="1">
      <c r="D9" s="955" t="s">
        <v>403</v>
      </c>
      <c r="H9" s="806"/>
      <c r="O9" s="935"/>
    </row>
    <row r="10" spans="1:15" ht="15.75" customHeight="1">
      <c r="A10" s="698">
        <v>200</v>
      </c>
      <c r="B10" s="698">
        <v>0</v>
      </c>
      <c r="C10" s="698">
        <v>40000</v>
      </c>
      <c r="D10" s="703" t="s">
        <v>6</v>
      </c>
      <c r="E10" s="692">
        <v>112466</v>
      </c>
      <c r="F10" s="692">
        <f>E68</f>
        <v>110520</v>
      </c>
      <c r="G10" s="453">
        <v>110000</v>
      </c>
      <c r="H10" s="1028">
        <v>110000</v>
      </c>
      <c r="I10" s="353"/>
      <c r="J10" s="811">
        <f>IF($M$2="Yes",H10,0)</f>
        <v>0</v>
      </c>
      <c r="K10" s="811">
        <f>IF($N$2="Yes",J10,0)</f>
        <v>0</v>
      </c>
      <c r="M10" s="698">
        <v>10000</v>
      </c>
      <c r="O10" s="935"/>
    </row>
    <row r="11" spans="1:15" ht="15.75" customHeight="1">
      <c r="A11" s="698">
        <v>200</v>
      </c>
      <c r="B11" s="698">
        <v>0</v>
      </c>
      <c r="C11" s="698">
        <v>41040</v>
      </c>
      <c r="D11" s="703" t="s">
        <v>92</v>
      </c>
      <c r="E11" s="692">
        <v>60842</v>
      </c>
      <c r="F11" s="692">
        <v>86229</v>
      </c>
      <c r="G11" s="453">
        <v>62000</v>
      </c>
      <c r="H11" s="1028">
        <v>62000</v>
      </c>
      <c r="I11" s="353"/>
      <c r="J11" s="453">
        <f t="shared" ref="J11:J14" si="0">IF($M$2="Yes",H11,0)</f>
        <v>0</v>
      </c>
      <c r="K11" s="453">
        <f t="shared" ref="K11:K14" si="1">IF($N$2="Yes",J11,0)</f>
        <v>0</v>
      </c>
      <c r="M11" s="698">
        <v>15000</v>
      </c>
      <c r="O11" s="935"/>
    </row>
    <row r="12" spans="1:15" ht="15.75" customHeight="1">
      <c r="A12" s="698">
        <v>200</v>
      </c>
      <c r="B12" s="698">
        <v>0</v>
      </c>
      <c r="C12" s="698">
        <v>41070</v>
      </c>
      <c r="D12" s="703" t="s">
        <v>536</v>
      </c>
      <c r="E12" s="692">
        <v>0</v>
      </c>
      <c r="F12" s="692">
        <v>0</v>
      </c>
      <c r="G12" s="453">
        <v>98700</v>
      </c>
      <c r="H12" s="1028">
        <v>98700</v>
      </c>
      <c r="I12" s="353"/>
      <c r="J12" s="453">
        <f t="shared" si="0"/>
        <v>0</v>
      </c>
      <c r="K12" s="453">
        <f t="shared" si="1"/>
        <v>0</v>
      </c>
      <c r="O12" s="935"/>
    </row>
    <row r="13" spans="1:15" ht="15.75" customHeight="1" thickBot="1">
      <c r="A13" s="698">
        <v>200</v>
      </c>
      <c r="B13" s="698">
        <v>0</v>
      </c>
      <c r="C13" s="698">
        <v>46057</v>
      </c>
      <c r="D13" s="703" t="s">
        <v>23</v>
      </c>
      <c r="E13" s="770">
        <v>0</v>
      </c>
      <c r="F13" s="770">
        <v>0</v>
      </c>
      <c r="G13" s="770">
        <v>200</v>
      </c>
      <c r="H13" s="1022">
        <v>200</v>
      </c>
      <c r="I13" s="353"/>
      <c r="J13" s="770">
        <f t="shared" si="0"/>
        <v>0</v>
      </c>
      <c r="K13" s="770">
        <f t="shared" si="1"/>
        <v>0</v>
      </c>
      <c r="O13" s="935"/>
    </row>
    <row r="14" spans="1:15" ht="18" hidden="1" customHeight="1" thickBot="1">
      <c r="D14" s="703" t="s">
        <v>93</v>
      </c>
      <c r="E14" s="452">
        <v>0</v>
      </c>
      <c r="F14" s="636">
        <v>0</v>
      </c>
      <c r="G14" s="452">
        <v>0</v>
      </c>
      <c r="H14" s="452">
        <v>0</v>
      </c>
      <c r="I14" s="461"/>
      <c r="J14" s="452">
        <f t="shared" si="0"/>
        <v>0</v>
      </c>
      <c r="K14" s="452">
        <f t="shared" si="1"/>
        <v>0</v>
      </c>
      <c r="O14" s="935"/>
    </row>
    <row r="15" spans="1:15" s="421" customFormat="1" ht="18" customHeight="1" thickTop="1">
      <c r="D15" s="955" t="s">
        <v>404</v>
      </c>
      <c r="E15" s="695">
        <f>SUM(E10:E14)</f>
        <v>173308</v>
      </c>
      <c r="F15" s="695">
        <f t="shared" ref="F15:H15" si="2">SUM(F10:F14)</f>
        <v>196749</v>
      </c>
      <c r="G15" s="695">
        <f t="shared" si="2"/>
        <v>270900</v>
      </c>
      <c r="H15" s="695">
        <f t="shared" si="2"/>
        <v>270900</v>
      </c>
      <c r="I15" s="456"/>
      <c r="J15" s="695">
        <f t="shared" ref="J15:K15" si="3">SUM(J10:J14)</f>
        <v>0</v>
      </c>
      <c r="K15" s="695">
        <f t="shared" si="3"/>
        <v>0</v>
      </c>
      <c r="O15" s="935"/>
    </row>
    <row r="16" spans="1:15" ht="18" customHeight="1">
      <c r="D16" s="703"/>
      <c r="E16" s="452">
        <f>SUM(E11:E14)</f>
        <v>60842</v>
      </c>
      <c r="F16" s="452">
        <f>SUM(F11:F14)</f>
        <v>86229</v>
      </c>
      <c r="G16" s="452">
        <f>SUM(G11:G14)</f>
        <v>160900</v>
      </c>
      <c r="H16" s="452">
        <f>SUM(H11:H14)</f>
        <v>160900</v>
      </c>
      <c r="I16" s="456"/>
      <c r="J16" s="452">
        <f>SUM(J11:J14)</f>
        <v>0</v>
      </c>
      <c r="K16" s="452">
        <f>SUM(K11:K14)</f>
        <v>0</v>
      </c>
      <c r="O16" s="935"/>
    </row>
    <row r="17" spans="1:16" ht="18" customHeight="1">
      <c r="D17" s="957" t="s">
        <v>405</v>
      </c>
      <c r="E17" s="452"/>
      <c r="F17" s="636"/>
      <c r="G17" s="452"/>
      <c r="H17" s="452"/>
      <c r="I17" s="456"/>
      <c r="J17" s="452"/>
      <c r="K17" s="452"/>
      <c r="O17" s="935"/>
    </row>
    <row r="18" spans="1:16" ht="18" customHeight="1">
      <c r="A18" s="698" t="s">
        <v>561</v>
      </c>
      <c r="D18" s="703" t="s">
        <v>220</v>
      </c>
      <c r="E18" s="636">
        <v>16346</v>
      </c>
      <c r="F18" s="636">
        <v>13995</v>
      </c>
      <c r="G18" s="452">
        <v>15056.197120493611</v>
      </c>
      <c r="H18" s="1029">
        <f>'Personnel by Fund'!L60</f>
        <v>17668.535248635471</v>
      </c>
      <c r="I18" s="699"/>
      <c r="J18" s="452">
        <f t="shared" ref="J18:J21" si="4">IF($M$2="Yes",H18,0)</f>
        <v>0</v>
      </c>
      <c r="K18" s="452">
        <f t="shared" ref="K18:K21" si="5">IF($N$2="Yes",J18,0)</f>
        <v>0</v>
      </c>
      <c r="O18" s="935"/>
    </row>
    <row r="19" spans="1:16" ht="15.75" customHeight="1">
      <c r="A19" s="698">
        <v>200</v>
      </c>
      <c r="B19" s="698">
        <v>410</v>
      </c>
      <c r="C19" s="698">
        <v>51030</v>
      </c>
      <c r="D19" s="703" t="s">
        <v>198</v>
      </c>
      <c r="E19" s="692">
        <v>1537</v>
      </c>
      <c r="F19" s="692">
        <v>1581</v>
      </c>
      <c r="G19" s="452">
        <v>2080.7664420522169</v>
      </c>
      <c r="H19" s="1029">
        <f>'Personnel by Fund'!L61</f>
        <v>2441.791571361422</v>
      </c>
      <c r="I19" s="353"/>
      <c r="J19" s="453">
        <f t="shared" si="4"/>
        <v>0</v>
      </c>
      <c r="K19" s="453">
        <f t="shared" si="5"/>
        <v>0</v>
      </c>
      <c r="O19" s="935"/>
    </row>
    <row r="20" spans="1:16" ht="15.75" customHeight="1">
      <c r="A20" s="698">
        <v>200</v>
      </c>
      <c r="B20" s="698">
        <v>410</v>
      </c>
      <c r="C20" s="698">
        <v>51010</v>
      </c>
      <c r="D20" s="92" t="s">
        <v>260</v>
      </c>
      <c r="E20" s="692">
        <v>4915</v>
      </c>
      <c r="F20" s="692">
        <v>5806</v>
      </c>
      <c r="G20" s="452">
        <v>5380.1640000000007</v>
      </c>
      <c r="H20" s="1029">
        <f>'Personnel by Fund'!L62</f>
        <v>5380.1640000000007</v>
      </c>
      <c r="I20" s="353"/>
      <c r="J20" s="453">
        <f t="shared" si="4"/>
        <v>0</v>
      </c>
      <c r="K20" s="453">
        <f t="shared" si="5"/>
        <v>0</v>
      </c>
      <c r="O20" s="935"/>
    </row>
    <row r="21" spans="1:16" ht="15.75" customHeight="1">
      <c r="A21" s="698">
        <v>200</v>
      </c>
      <c r="B21" s="698">
        <v>410</v>
      </c>
      <c r="C21" s="698">
        <v>51020</v>
      </c>
      <c r="D21" s="958" t="s">
        <v>276</v>
      </c>
      <c r="E21" s="693">
        <v>4138</v>
      </c>
      <c r="F21" s="693">
        <v>2922</v>
      </c>
      <c r="G21" s="742">
        <v>4089.2631379260647</v>
      </c>
      <c r="H21" s="1030">
        <f>'Personnel by Fund'!L63</f>
        <v>4798.7741735293939</v>
      </c>
      <c r="I21" s="461"/>
      <c r="J21" s="457">
        <f t="shared" si="4"/>
        <v>0</v>
      </c>
      <c r="K21" s="457">
        <f t="shared" si="5"/>
        <v>0</v>
      </c>
      <c r="O21" s="935"/>
    </row>
    <row r="22" spans="1:16" ht="18" customHeight="1">
      <c r="D22" s="955" t="s">
        <v>406</v>
      </c>
      <c r="E22" s="338">
        <f>SUM(E18:E21)</f>
        <v>26936</v>
      </c>
      <c r="F22" s="338">
        <f t="shared" ref="F22:H22" si="6">SUM(F18:F21)</f>
        <v>24304</v>
      </c>
      <c r="G22" s="338">
        <f t="shared" si="6"/>
        <v>26606.390700471893</v>
      </c>
      <c r="H22" s="338">
        <f t="shared" si="6"/>
        <v>30289.264993526289</v>
      </c>
      <c r="I22" s="456"/>
      <c r="J22" s="338">
        <f t="shared" ref="J22" si="7">SUM(J18:J21)</f>
        <v>0</v>
      </c>
      <c r="K22" s="338">
        <f t="shared" ref="K22" si="8">SUM(K18:K21)</f>
        <v>0</v>
      </c>
      <c r="O22" s="935"/>
    </row>
    <row r="23" spans="1:16" ht="18" customHeight="1">
      <c r="D23" s="703"/>
      <c r="E23" s="452"/>
      <c r="F23" s="636"/>
      <c r="G23" s="452"/>
      <c r="H23" s="452"/>
      <c r="I23" s="456"/>
      <c r="J23" s="452"/>
      <c r="K23" s="452"/>
    </row>
    <row r="24" spans="1:16" ht="18" customHeight="1">
      <c r="D24" s="957" t="s">
        <v>48</v>
      </c>
      <c r="E24" s="452"/>
      <c r="F24" s="636"/>
      <c r="G24" s="452"/>
      <c r="H24" s="452"/>
      <c r="I24" s="456"/>
      <c r="J24" s="452"/>
      <c r="K24" s="452"/>
    </row>
    <row r="25" spans="1:16" ht="16.149999999999999" customHeight="1">
      <c r="A25" s="698">
        <v>200</v>
      </c>
      <c r="B25" s="698">
        <v>410</v>
      </c>
      <c r="C25" s="698">
        <v>52002</v>
      </c>
      <c r="D25" s="806" t="s">
        <v>39</v>
      </c>
      <c r="E25" s="452">
        <v>0</v>
      </c>
      <c r="F25" s="452">
        <v>0</v>
      </c>
      <c r="G25" s="452">
        <v>0</v>
      </c>
      <c r="H25" s="1029">
        <v>0</v>
      </c>
      <c r="I25" s="461"/>
      <c r="J25" s="452">
        <f t="shared" ref="J25:J40" si="9">IF($M$2="Yes",H25,0)</f>
        <v>0</v>
      </c>
      <c r="K25" s="452">
        <f t="shared" ref="K25:K40" si="10">IF($N$2="Yes",J25,0)</f>
        <v>0</v>
      </c>
    </row>
    <row r="26" spans="1:16" ht="16.149999999999999" customHeight="1">
      <c r="A26" s="698">
        <v>200</v>
      </c>
      <c r="B26" s="698">
        <v>410</v>
      </c>
      <c r="C26" s="698">
        <v>52011</v>
      </c>
      <c r="D26" s="806" t="s">
        <v>459</v>
      </c>
      <c r="E26" s="636">
        <v>14227</v>
      </c>
      <c r="F26" s="636">
        <v>0</v>
      </c>
      <c r="G26" s="452">
        <v>10000</v>
      </c>
      <c r="H26" s="1029">
        <v>10000</v>
      </c>
      <c r="I26" s="798"/>
      <c r="J26" s="452">
        <f t="shared" si="9"/>
        <v>0</v>
      </c>
      <c r="K26" s="452">
        <f t="shared" si="10"/>
        <v>0</v>
      </c>
    </row>
    <row r="27" spans="1:16" ht="16.149999999999999" hidden="1" customHeight="1">
      <c r="A27" s="698">
        <v>200</v>
      </c>
      <c r="B27" s="698">
        <v>410</v>
      </c>
      <c r="D27" s="806" t="s">
        <v>36</v>
      </c>
      <c r="E27" s="452">
        <v>0</v>
      </c>
      <c r="F27" s="452">
        <v>0</v>
      </c>
      <c r="G27" s="452">
        <v>0</v>
      </c>
      <c r="H27" s="1029">
        <v>0</v>
      </c>
      <c r="I27" s="461"/>
      <c r="J27" s="452">
        <f t="shared" si="9"/>
        <v>0</v>
      </c>
      <c r="K27" s="452">
        <f t="shared" si="10"/>
        <v>0</v>
      </c>
    </row>
    <row r="28" spans="1:16" ht="16.149999999999999" customHeight="1">
      <c r="A28" s="698">
        <v>200</v>
      </c>
      <c r="B28" s="698">
        <v>410</v>
      </c>
      <c r="C28" s="698">
        <v>52011</v>
      </c>
      <c r="D28" s="703" t="s">
        <v>97</v>
      </c>
      <c r="E28" s="636">
        <v>0</v>
      </c>
      <c r="F28" s="636">
        <v>0</v>
      </c>
      <c r="G28" s="452">
        <v>0</v>
      </c>
      <c r="H28" s="1029">
        <v>0</v>
      </c>
      <c r="I28" s="461"/>
      <c r="J28" s="700">
        <f t="shared" si="9"/>
        <v>0</v>
      </c>
      <c r="K28" s="452">
        <f t="shared" si="10"/>
        <v>0</v>
      </c>
    </row>
    <row r="29" spans="1:16" ht="16.149999999999999" hidden="1" customHeight="1">
      <c r="A29" s="698">
        <v>200</v>
      </c>
      <c r="B29" s="698">
        <v>410</v>
      </c>
      <c r="D29" s="806" t="s">
        <v>256</v>
      </c>
      <c r="E29" s="452">
        <v>0</v>
      </c>
      <c r="F29" s="452">
        <v>0</v>
      </c>
      <c r="G29" s="452">
        <v>0</v>
      </c>
      <c r="H29" s="1029">
        <v>0</v>
      </c>
      <c r="I29" s="461"/>
      <c r="J29" s="452">
        <f t="shared" si="9"/>
        <v>0</v>
      </c>
      <c r="K29" s="452">
        <f t="shared" si="10"/>
        <v>0</v>
      </c>
    </row>
    <row r="30" spans="1:16" ht="16.149999999999999" customHeight="1">
      <c r="A30" s="698">
        <v>200</v>
      </c>
      <c r="B30" s="698">
        <v>410</v>
      </c>
      <c r="C30" s="698">
        <v>52016</v>
      </c>
      <c r="D30" s="806" t="s">
        <v>94</v>
      </c>
      <c r="E30" s="452">
        <v>0</v>
      </c>
      <c r="F30" s="636">
        <v>0</v>
      </c>
      <c r="G30" s="452">
        <v>950</v>
      </c>
      <c r="H30" s="1029">
        <f>19000*0.05</f>
        <v>950</v>
      </c>
      <c r="I30" s="461"/>
      <c r="J30" s="452">
        <f t="shared" si="9"/>
        <v>0</v>
      </c>
      <c r="K30" s="452">
        <f t="shared" si="10"/>
        <v>0</v>
      </c>
      <c r="P30" s="698" t="s">
        <v>5</v>
      </c>
    </row>
    <row r="31" spans="1:16" ht="16.149999999999999" customHeight="1">
      <c r="A31" s="698">
        <v>200</v>
      </c>
      <c r="B31" s="698">
        <v>410</v>
      </c>
      <c r="C31" s="698">
        <v>52019</v>
      </c>
      <c r="D31" s="806" t="s">
        <v>72</v>
      </c>
      <c r="E31" s="636">
        <v>881</v>
      </c>
      <c r="F31" s="636">
        <v>0</v>
      </c>
      <c r="G31" s="452">
        <v>1500</v>
      </c>
      <c r="H31" s="1029">
        <v>1500</v>
      </c>
      <c r="I31" s="461"/>
      <c r="J31" s="452">
        <f t="shared" si="9"/>
        <v>0</v>
      </c>
      <c r="K31" s="452">
        <f t="shared" si="10"/>
        <v>0</v>
      </c>
      <c r="L31" s="959"/>
    </row>
    <row r="32" spans="1:16" ht="16.149999999999999" customHeight="1">
      <c r="A32" s="698">
        <v>200</v>
      </c>
      <c r="B32" s="698">
        <v>410</v>
      </c>
      <c r="C32" s="698">
        <v>52020</v>
      </c>
      <c r="D32" s="806" t="s">
        <v>95</v>
      </c>
      <c r="E32" s="452">
        <v>0</v>
      </c>
      <c r="F32" s="452">
        <v>16052</v>
      </c>
      <c r="G32" s="452">
        <v>2000</v>
      </c>
      <c r="H32" s="1029">
        <v>2000</v>
      </c>
      <c r="I32" s="461"/>
      <c r="J32" s="452">
        <f t="shared" si="9"/>
        <v>0</v>
      </c>
      <c r="K32" s="452">
        <f t="shared" si="10"/>
        <v>0</v>
      </c>
      <c r="L32" s="959"/>
    </row>
    <row r="33" spans="1:12" ht="16.149999999999999" customHeight="1">
      <c r="A33" s="698">
        <v>200</v>
      </c>
      <c r="B33" s="698">
        <v>410</v>
      </c>
      <c r="C33" s="698">
        <v>52022</v>
      </c>
      <c r="D33" s="806" t="s">
        <v>234</v>
      </c>
      <c r="E33" s="452">
        <v>0</v>
      </c>
      <c r="F33" s="452">
        <v>0</v>
      </c>
      <c r="G33" s="452">
        <v>0</v>
      </c>
      <c r="H33" s="1029">
        <v>0</v>
      </c>
      <c r="I33" s="461"/>
      <c r="J33" s="452">
        <f t="shared" si="9"/>
        <v>0</v>
      </c>
      <c r="K33" s="452">
        <f t="shared" si="10"/>
        <v>0</v>
      </c>
    </row>
    <row r="34" spans="1:12" ht="16.149999999999999" hidden="1" customHeight="1">
      <c r="A34" s="698">
        <v>200</v>
      </c>
      <c r="B34" s="698">
        <v>410</v>
      </c>
      <c r="D34" s="806" t="s">
        <v>65</v>
      </c>
      <c r="E34" s="452">
        <v>0</v>
      </c>
      <c r="F34" s="452">
        <v>0</v>
      </c>
      <c r="G34" s="452">
        <v>0</v>
      </c>
      <c r="H34" s="1029">
        <v>0</v>
      </c>
      <c r="I34" s="461"/>
      <c r="J34" s="452">
        <f t="shared" si="9"/>
        <v>0</v>
      </c>
      <c r="K34" s="452">
        <f t="shared" si="10"/>
        <v>0</v>
      </c>
    </row>
    <row r="35" spans="1:12" ht="16.149999999999999" customHeight="1">
      <c r="A35" s="698">
        <v>200</v>
      </c>
      <c r="B35" s="698">
        <v>410</v>
      </c>
      <c r="C35" s="698">
        <v>52023</v>
      </c>
      <c r="D35" s="806" t="s">
        <v>88</v>
      </c>
      <c r="E35" s="452">
        <v>0</v>
      </c>
      <c r="F35" s="452">
        <v>0</v>
      </c>
      <c r="G35" s="452">
        <v>250</v>
      </c>
      <c r="H35" s="1029">
        <v>250</v>
      </c>
      <c r="I35" s="461"/>
      <c r="J35" s="452">
        <f t="shared" si="9"/>
        <v>0</v>
      </c>
      <c r="K35" s="452">
        <f t="shared" si="10"/>
        <v>0</v>
      </c>
    </row>
    <row r="36" spans="1:12" ht="16.149999999999999" customHeight="1">
      <c r="A36" s="698">
        <v>200</v>
      </c>
      <c r="B36" s="698">
        <v>410</v>
      </c>
      <c r="C36" s="698">
        <v>52024</v>
      </c>
      <c r="D36" s="703" t="s">
        <v>98</v>
      </c>
      <c r="E36" s="636">
        <v>4050</v>
      </c>
      <c r="F36" s="636">
        <v>1900</v>
      </c>
      <c r="G36" s="452">
        <v>6000</v>
      </c>
      <c r="H36" s="1029">
        <v>6000</v>
      </c>
      <c r="I36" s="461">
        <v>1</v>
      </c>
      <c r="J36" s="452">
        <f t="shared" si="9"/>
        <v>0</v>
      </c>
      <c r="K36" s="452">
        <f t="shared" si="10"/>
        <v>0</v>
      </c>
    </row>
    <row r="37" spans="1:12" ht="16.149999999999999" customHeight="1">
      <c r="A37" s="698">
        <v>200</v>
      </c>
      <c r="B37" s="698">
        <v>410</v>
      </c>
      <c r="C37" s="698">
        <v>52030</v>
      </c>
      <c r="D37" s="806" t="s">
        <v>23</v>
      </c>
      <c r="E37" s="452">
        <v>475</v>
      </c>
      <c r="F37" s="452">
        <v>212</v>
      </c>
      <c r="G37" s="452">
        <v>100</v>
      </c>
      <c r="H37" s="1029">
        <v>100</v>
      </c>
      <c r="I37" s="461"/>
      <c r="J37" s="452">
        <f t="shared" si="9"/>
        <v>0</v>
      </c>
      <c r="K37" s="452">
        <f t="shared" si="10"/>
        <v>0</v>
      </c>
    </row>
    <row r="38" spans="1:12" ht="16.149999999999999" customHeight="1">
      <c r="A38" s="698">
        <v>200</v>
      </c>
      <c r="B38" s="698">
        <v>410</v>
      </c>
      <c r="C38" s="698">
        <v>52103</v>
      </c>
      <c r="D38" s="806" t="s">
        <v>62</v>
      </c>
      <c r="E38" s="636">
        <v>3239</v>
      </c>
      <c r="F38" s="636">
        <v>4202</v>
      </c>
      <c r="G38" s="452">
        <v>4000</v>
      </c>
      <c r="H38" s="1029">
        <v>4000</v>
      </c>
      <c r="I38" s="461"/>
      <c r="J38" s="452">
        <f t="shared" si="9"/>
        <v>0</v>
      </c>
      <c r="K38" s="452">
        <f t="shared" si="10"/>
        <v>0</v>
      </c>
    </row>
    <row r="39" spans="1:12" ht="16.149999999999999" customHeight="1">
      <c r="A39" s="698">
        <v>200</v>
      </c>
      <c r="B39" s="698">
        <v>410</v>
      </c>
      <c r="C39" s="777">
        <v>52109</v>
      </c>
      <c r="D39" s="703" t="s">
        <v>151</v>
      </c>
      <c r="E39" s="481">
        <v>12391</v>
      </c>
      <c r="F39" s="481">
        <v>12622</v>
      </c>
      <c r="G39" s="759">
        <v>11000</v>
      </c>
      <c r="H39" s="1031">
        <v>11000</v>
      </c>
      <c r="I39" s="461"/>
      <c r="J39" s="759">
        <f t="shared" si="9"/>
        <v>0</v>
      </c>
      <c r="K39" s="759">
        <f t="shared" si="10"/>
        <v>0</v>
      </c>
    </row>
    <row r="40" spans="1:12" ht="16.149999999999999" customHeight="1">
      <c r="A40" s="698">
        <v>200</v>
      </c>
      <c r="B40" s="698">
        <v>410</v>
      </c>
      <c r="C40" s="698">
        <v>52114</v>
      </c>
      <c r="D40" s="806" t="s">
        <v>470</v>
      </c>
      <c r="E40" s="742">
        <v>389</v>
      </c>
      <c r="F40" s="742">
        <v>778</v>
      </c>
      <c r="G40" s="742">
        <v>804</v>
      </c>
      <c r="H40" s="1030">
        <f>'CIP_Rec Costs'!E49</f>
        <v>804</v>
      </c>
      <c r="I40" s="461"/>
      <c r="J40" s="742">
        <f t="shared" si="9"/>
        <v>0</v>
      </c>
      <c r="K40" s="742">
        <f t="shared" si="10"/>
        <v>0</v>
      </c>
    </row>
    <row r="41" spans="1:12" ht="16.149999999999999" hidden="1" customHeight="1">
      <c r="A41" s="698">
        <v>200</v>
      </c>
      <c r="B41" s="698">
        <v>410</v>
      </c>
      <c r="D41" s="806" t="s">
        <v>99</v>
      </c>
      <c r="E41" s="694">
        <v>0</v>
      </c>
      <c r="F41" s="960">
        <v>0</v>
      </c>
      <c r="G41" s="694">
        <v>0</v>
      </c>
      <c r="H41" s="694">
        <v>0</v>
      </c>
      <c r="I41" s="461"/>
      <c r="J41" s="694">
        <f t="shared" ref="J41" si="11">IF($M$2="Yes",H41,0)</f>
        <v>0</v>
      </c>
      <c r="K41" s="694">
        <f t="shared" ref="K41" si="12">IF($N$2="Yes",J41,0)</f>
        <v>0</v>
      </c>
    </row>
    <row r="42" spans="1:12" ht="18" customHeight="1">
      <c r="D42" s="955" t="s">
        <v>68</v>
      </c>
      <c r="E42" s="347">
        <f>SUM(E25:E41)</f>
        <v>35652</v>
      </c>
      <c r="F42" s="347">
        <f>SUM(F25:F41)</f>
        <v>35766</v>
      </c>
      <c r="G42" s="347">
        <f t="shared" ref="G42:H42" si="13">SUM(G25:G41)</f>
        <v>36604</v>
      </c>
      <c r="H42" s="347">
        <f t="shared" si="13"/>
        <v>36604</v>
      </c>
      <c r="I42" s="456"/>
      <c r="J42" s="347">
        <f t="shared" ref="J42:K42" si="14">SUM(J25:J41)</f>
        <v>0</v>
      </c>
      <c r="K42" s="347">
        <f t="shared" si="14"/>
        <v>0</v>
      </c>
    </row>
    <row r="43" spans="1:12">
      <c r="E43" s="443"/>
      <c r="F43" s="443"/>
      <c r="G43" s="443"/>
      <c r="H43" s="443"/>
      <c r="I43" s="470"/>
      <c r="J43" s="443"/>
      <c r="K43" s="443"/>
    </row>
    <row r="44" spans="1:12" s="792" customFormat="1" ht="15.75">
      <c r="D44" s="421" t="s">
        <v>69</v>
      </c>
      <c r="E44" s="235"/>
      <c r="F44" s="701"/>
      <c r="G44" s="701"/>
      <c r="H44" s="701"/>
      <c r="I44" s="702"/>
      <c r="J44" s="702"/>
      <c r="K44" s="702"/>
    </row>
    <row r="45" spans="1:12" ht="16.149999999999999" customHeight="1">
      <c r="A45" s="698">
        <v>200</v>
      </c>
      <c r="B45" s="698">
        <v>410</v>
      </c>
      <c r="C45" s="777">
        <v>53001</v>
      </c>
      <c r="D45" s="703" t="s">
        <v>96</v>
      </c>
      <c r="E45" s="694">
        <v>0</v>
      </c>
      <c r="F45" s="694">
        <v>5600</v>
      </c>
      <c r="G45" s="694">
        <v>98700</v>
      </c>
      <c r="H45" s="1032">
        <v>98700</v>
      </c>
      <c r="I45" s="461">
        <v>2</v>
      </c>
      <c r="J45" s="694">
        <f>IF($M$2="Yes",H45,0)</f>
        <v>0</v>
      </c>
      <c r="K45" s="694">
        <f>IF($N$2="Yes",J45,0)</f>
        <v>0</v>
      </c>
      <c r="L45" s="759"/>
    </row>
    <row r="46" spans="1:12" ht="16.149999999999999" customHeight="1">
      <c r="D46" s="955" t="s">
        <v>55</v>
      </c>
      <c r="E46" s="347">
        <f>SUM(E44:E45)</f>
        <v>0</v>
      </c>
      <c r="F46" s="347">
        <f>SUM(F44:F45)</f>
        <v>5600</v>
      </c>
      <c r="G46" s="347">
        <f>SUM(G44:G45)</f>
        <v>98700</v>
      </c>
      <c r="H46" s="347">
        <f>SUM(H45:H45)</f>
        <v>98700</v>
      </c>
      <c r="I46" s="347"/>
      <c r="J46" s="347">
        <f t="shared" ref="J46:K46" si="15">SUM(J45:J45)</f>
        <v>0</v>
      </c>
      <c r="K46" s="347">
        <f t="shared" si="15"/>
        <v>0</v>
      </c>
    </row>
    <row r="47" spans="1:12" ht="16.149999999999999" customHeight="1" thickBot="1">
      <c r="D47" s="955"/>
      <c r="E47" s="347"/>
      <c r="F47" s="347"/>
      <c r="G47" s="347"/>
      <c r="H47" s="347"/>
      <c r="I47" s="347"/>
      <c r="J47" s="347"/>
      <c r="K47" s="347"/>
    </row>
    <row r="48" spans="1:12" ht="16.149999999999999" customHeight="1" thickTop="1">
      <c r="D48" s="955" t="s">
        <v>28</v>
      </c>
      <c r="E48" s="695">
        <f>SUM(E22+E42+E46)</f>
        <v>62588</v>
      </c>
      <c r="F48" s="695">
        <f>SUM(F22+F42+F46)</f>
        <v>65670</v>
      </c>
      <c r="G48" s="695">
        <f>SUM(G22+G42+G46)</f>
        <v>161910.39070047188</v>
      </c>
      <c r="H48" s="695">
        <f>SUM(H46+H42+H22)</f>
        <v>165593.26499352627</v>
      </c>
      <c r="I48" s="456"/>
      <c r="J48" s="695">
        <f>SUM(J46+J42+J22)</f>
        <v>0</v>
      </c>
      <c r="K48" s="695">
        <f>SUM(K46+K42+K22)</f>
        <v>0</v>
      </c>
      <c r="L48" s="470"/>
    </row>
    <row r="49" spans="1:11">
      <c r="E49" s="443"/>
      <c r="F49" s="443"/>
      <c r="G49" s="443"/>
      <c r="H49" s="443"/>
      <c r="I49" s="470"/>
      <c r="J49" s="443"/>
      <c r="K49" s="443"/>
    </row>
    <row r="50" spans="1:11" ht="15.75">
      <c r="D50" s="955" t="s">
        <v>247</v>
      </c>
      <c r="E50" s="443"/>
      <c r="F50" s="443"/>
      <c r="G50" s="443"/>
      <c r="H50" s="443"/>
      <c r="I50" s="470"/>
      <c r="J50" s="443"/>
      <c r="K50" s="443"/>
    </row>
    <row r="51" spans="1:11" ht="15.75">
      <c r="D51" s="955" t="s">
        <v>424</v>
      </c>
      <c r="E51" s="443"/>
      <c r="F51" s="443"/>
      <c r="G51" s="443"/>
      <c r="H51" s="443"/>
      <c r="I51" s="470"/>
      <c r="J51" s="443"/>
      <c r="K51" s="443"/>
    </row>
    <row r="52" spans="1:11" hidden="1">
      <c r="D52" s="806" t="s">
        <v>371</v>
      </c>
      <c r="E52" s="443">
        <v>0</v>
      </c>
      <c r="F52" s="443">
        <v>0</v>
      </c>
      <c r="G52" s="443">
        <v>0</v>
      </c>
      <c r="H52" s="443">
        <v>0</v>
      </c>
      <c r="I52" s="470"/>
      <c r="J52" s="452">
        <f t="shared" ref="J52:J55" si="16">IF($M$2="Yes",H52,0)</f>
        <v>0</v>
      </c>
      <c r="K52" s="452">
        <f t="shared" ref="K52:K55" si="17">IF($N$2="Yes",J52,0)</f>
        <v>0</v>
      </c>
    </row>
    <row r="53" spans="1:11" hidden="1">
      <c r="D53" s="703" t="s">
        <v>173</v>
      </c>
      <c r="E53" s="443">
        <v>0</v>
      </c>
      <c r="F53" s="443">
        <v>0</v>
      </c>
      <c r="G53" s="443">
        <v>0</v>
      </c>
      <c r="H53" s="443">
        <v>0</v>
      </c>
      <c r="I53" s="470"/>
      <c r="J53" s="452">
        <f t="shared" si="16"/>
        <v>0</v>
      </c>
      <c r="K53" s="452">
        <f t="shared" si="17"/>
        <v>0</v>
      </c>
    </row>
    <row r="54" spans="1:11">
      <c r="A54" s="698">
        <v>200</v>
      </c>
      <c r="B54" s="698">
        <v>410</v>
      </c>
      <c r="C54" s="698">
        <v>55600</v>
      </c>
      <c r="D54" s="703" t="s">
        <v>156</v>
      </c>
      <c r="E54" s="747">
        <v>200</v>
      </c>
      <c r="F54" s="747">
        <v>200</v>
      </c>
      <c r="G54" s="747">
        <v>200</v>
      </c>
      <c r="H54" s="747">
        <f>'CIP_Rec Costs'!E12+'CIP_Rec Costs'!E19</f>
        <v>200</v>
      </c>
      <c r="I54" s="470"/>
      <c r="J54" s="742">
        <f t="shared" si="16"/>
        <v>0</v>
      </c>
      <c r="K54" s="742">
        <f t="shared" si="17"/>
        <v>0</v>
      </c>
    </row>
    <row r="55" spans="1:11" hidden="1">
      <c r="D55" s="703" t="s">
        <v>425</v>
      </c>
      <c r="E55" s="747">
        <v>0</v>
      </c>
      <c r="F55" s="747">
        <v>0</v>
      </c>
      <c r="G55" s="747">
        <v>0</v>
      </c>
      <c r="H55" s="747">
        <v>0</v>
      </c>
      <c r="I55" s="470"/>
      <c r="J55" s="742">
        <f t="shared" si="16"/>
        <v>0</v>
      </c>
      <c r="K55" s="742">
        <f t="shared" si="17"/>
        <v>0</v>
      </c>
    </row>
    <row r="56" spans="1:11" ht="15.75">
      <c r="D56" s="955" t="s">
        <v>426</v>
      </c>
      <c r="E56" s="449">
        <f>SUM(E52:E55)</f>
        <v>200</v>
      </c>
      <c r="F56" s="449">
        <f t="shared" ref="F56:H56" si="18">SUM(F52:F55)</f>
        <v>200</v>
      </c>
      <c r="G56" s="449">
        <f t="shared" si="18"/>
        <v>200</v>
      </c>
      <c r="H56" s="449">
        <f t="shared" si="18"/>
        <v>200</v>
      </c>
      <c r="I56" s="365"/>
      <c r="J56" s="449">
        <f t="shared" ref="J56" si="19">SUM(J52:J55)</f>
        <v>0</v>
      </c>
      <c r="K56" s="449">
        <f t="shared" ref="K56" si="20">SUM(K52:K55)</f>
        <v>0</v>
      </c>
    </row>
    <row r="57" spans="1:11">
      <c r="E57" s="443"/>
      <c r="F57" s="443"/>
      <c r="G57" s="443"/>
      <c r="H57" s="443"/>
      <c r="I57" s="470"/>
      <c r="J57" s="443"/>
      <c r="K57" s="443"/>
    </row>
    <row r="58" spans="1:11" ht="15.75" hidden="1">
      <c r="D58" s="955" t="s">
        <v>423</v>
      </c>
      <c r="E58" s="443"/>
      <c r="F58" s="443"/>
      <c r="G58" s="443"/>
      <c r="H58" s="443"/>
      <c r="I58" s="470"/>
      <c r="J58" s="443"/>
      <c r="K58" s="443"/>
    </row>
    <row r="59" spans="1:11" s="792" customFormat="1" hidden="1">
      <c r="D59" s="806" t="s">
        <v>371</v>
      </c>
      <c r="E59" s="331">
        <v>0</v>
      </c>
      <c r="F59" s="331">
        <v>0</v>
      </c>
      <c r="G59" s="331">
        <v>0</v>
      </c>
      <c r="H59" s="331">
        <v>0</v>
      </c>
      <c r="I59" s="353"/>
      <c r="J59" s="452">
        <f t="shared" ref="J59:J62" si="21">IF($M$2="Yes",H59,0)</f>
        <v>0</v>
      </c>
      <c r="K59" s="452">
        <f t="shared" ref="K59:K62" si="22">IF($N$2="Yes",J59,0)</f>
        <v>0</v>
      </c>
    </row>
    <row r="60" spans="1:11" s="792" customFormat="1" ht="16.5" hidden="1">
      <c r="D60" s="806" t="s">
        <v>173</v>
      </c>
      <c r="E60" s="331">
        <v>0</v>
      </c>
      <c r="F60" s="331">
        <v>0</v>
      </c>
      <c r="G60" s="331">
        <v>0</v>
      </c>
      <c r="H60" s="331">
        <v>0</v>
      </c>
      <c r="I60" s="461"/>
      <c r="J60" s="452">
        <f t="shared" si="21"/>
        <v>0</v>
      </c>
      <c r="K60" s="452">
        <f t="shared" si="22"/>
        <v>0</v>
      </c>
    </row>
    <row r="61" spans="1:11" s="792" customFormat="1" ht="16.5" hidden="1">
      <c r="D61" s="806" t="s">
        <v>156</v>
      </c>
      <c r="E61" s="742">
        <v>0</v>
      </c>
      <c r="F61" s="742">
        <v>0</v>
      </c>
      <c r="G61" s="742">
        <v>0</v>
      </c>
      <c r="H61" s="742">
        <v>0</v>
      </c>
      <c r="I61" s="461"/>
      <c r="J61" s="742">
        <f t="shared" si="21"/>
        <v>0</v>
      </c>
      <c r="K61" s="742">
        <f t="shared" si="22"/>
        <v>0</v>
      </c>
    </row>
    <row r="62" spans="1:11" s="792" customFormat="1" ht="16.5" hidden="1">
      <c r="D62" s="806" t="s">
        <v>96</v>
      </c>
      <c r="E62" s="691">
        <v>0</v>
      </c>
      <c r="F62" s="691">
        <v>0</v>
      </c>
      <c r="G62" s="691">
        <v>0</v>
      </c>
      <c r="H62" s="766">
        <v>0</v>
      </c>
      <c r="I62" s="461"/>
      <c r="J62" s="691">
        <f t="shared" si="21"/>
        <v>0</v>
      </c>
      <c r="K62" s="691">
        <f t="shared" si="22"/>
        <v>0</v>
      </c>
    </row>
    <row r="63" spans="1:11" s="806" customFormat="1" ht="15.75" hidden="1">
      <c r="D63" s="421" t="s">
        <v>363</v>
      </c>
      <c r="E63" s="347">
        <f t="shared" ref="E63:F63" si="23">SUM(E59:E62)</f>
        <v>0</v>
      </c>
      <c r="F63" s="347">
        <f t="shared" si="23"/>
        <v>0</v>
      </c>
      <c r="G63" s="347">
        <f>SUM(G59:G62)</f>
        <v>0</v>
      </c>
      <c r="H63" s="347">
        <f t="shared" ref="H63" si="24">SUM(H59:H62)</f>
        <v>0</v>
      </c>
      <c r="I63" s="347"/>
      <c r="J63" s="347">
        <f t="shared" ref="J63:K63" si="25">SUM(J59:J62)</f>
        <v>0</v>
      </c>
      <c r="K63" s="347">
        <f t="shared" si="25"/>
        <v>0</v>
      </c>
    </row>
    <row r="64" spans="1:11" ht="15.75" hidden="1">
      <c r="D64" s="421"/>
      <c r="E64" s="347"/>
      <c r="F64" s="347"/>
      <c r="G64" s="347"/>
      <c r="H64" s="347"/>
      <c r="I64" s="347"/>
      <c r="J64" s="347"/>
      <c r="K64" s="347"/>
    </row>
    <row r="65" spans="1:19" ht="16.149999999999999" customHeight="1" thickBot="1">
      <c r="A65" s="698">
        <v>200</v>
      </c>
      <c r="B65" s="698">
        <v>998</v>
      </c>
      <c r="C65" s="698">
        <v>58000</v>
      </c>
      <c r="D65" s="955" t="s">
        <v>245</v>
      </c>
      <c r="E65" s="369"/>
      <c r="F65" s="696"/>
      <c r="G65" s="369">
        <v>50000</v>
      </c>
      <c r="H65" s="369">
        <v>50000</v>
      </c>
      <c r="I65" s="456"/>
      <c r="J65" s="369">
        <f>IF($M$2="Yes",H65,0)</f>
        <v>0</v>
      </c>
      <c r="K65" s="369">
        <f>IF($N$2="Yes",J65,0)</f>
        <v>0</v>
      </c>
    </row>
    <row r="66" spans="1:19" s="806" customFormat="1" ht="19.5" thickTop="1">
      <c r="D66" s="421" t="s">
        <v>361</v>
      </c>
      <c r="E66" s="298">
        <f>E48+E56</f>
        <v>62788</v>
      </c>
      <c r="F66" s="298">
        <f>F48+F56</f>
        <v>65870</v>
      </c>
      <c r="G66" s="298">
        <f>SUM(G22,G42,G46,G56,G65)</f>
        <v>212110.39070047188</v>
      </c>
      <c r="H66" s="298">
        <f>SUM(H22,H42,H46,H56,H65)</f>
        <v>215793.26499352627</v>
      </c>
      <c r="I66" s="478"/>
      <c r="J66" s="298">
        <f>SUM(J48+J56+J63+J65)</f>
        <v>0</v>
      </c>
      <c r="K66" s="298">
        <f>SUM(K48+K56+K63+K65)</f>
        <v>0</v>
      </c>
      <c r="L66" s="731"/>
      <c r="M66" s="166"/>
      <c r="N66" s="731"/>
      <c r="O66" s="731"/>
      <c r="P66" s="489"/>
      <c r="Q66" s="489"/>
      <c r="R66" s="489"/>
      <c r="S66" s="489"/>
    </row>
    <row r="67" spans="1:19" ht="16.149999999999999" customHeight="1">
      <c r="D67" s="955"/>
      <c r="E67" s="635"/>
      <c r="F67" s="697"/>
      <c r="G67" s="635"/>
      <c r="H67" s="635"/>
      <c r="I67" s="456"/>
      <c r="J67" s="635"/>
      <c r="K67" s="635"/>
    </row>
    <row r="68" spans="1:19" ht="16.149999999999999" customHeight="1" thickBot="1">
      <c r="A68" s="698">
        <v>200</v>
      </c>
      <c r="B68" s="698">
        <v>999</v>
      </c>
      <c r="C68" s="698">
        <v>59000</v>
      </c>
      <c r="D68" s="955" t="s">
        <v>401</v>
      </c>
      <c r="E68" s="635">
        <v>110520</v>
      </c>
      <c r="F68" s="635">
        <f>F15-F66</f>
        <v>130879</v>
      </c>
      <c r="G68" s="635">
        <f>G15-G66</f>
        <v>58789.609299528121</v>
      </c>
      <c r="H68" s="635">
        <f>H15-H66</f>
        <v>55106.735006473726</v>
      </c>
      <c r="I68" s="456"/>
      <c r="J68" s="635">
        <f>IF($M$2="Yes",H68,0)</f>
        <v>0</v>
      </c>
      <c r="K68" s="635">
        <f>IF($N$2="Yes",J68,0)</f>
        <v>0</v>
      </c>
    </row>
    <row r="69" spans="1:19" ht="16.149999999999999" customHeight="1" thickTop="1">
      <c r="D69" s="955" t="s">
        <v>359</v>
      </c>
      <c r="E69" s="695">
        <f>E66+E68</f>
        <v>173308</v>
      </c>
      <c r="F69" s="695">
        <f>F66+F68</f>
        <v>196749</v>
      </c>
      <c r="G69" s="695">
        <f>SUM(G22,G42,G46,G56,G65,G68)</f>
        <v>270900</v>
      </c>
      <c r="H69" s="695">
        <f>H66+H68</f>
        <v>270900</v>
      </c>
      <c r="I69" s="456"/>
      <c r="J69" s="695">
        <f>J66+J68</f>
        <v>0</v>
      </c>
      <c r="K69" s="695">
        <f>SUM(K66+K68)</f>
        <v>0</v>
      </c>
    </row>
    <row r="70" spans="1:19">
      <c r="E70" s="92"/>
      <c r="F70" s="92"/>
      <c r="G70" s="92"/>
      <c r="H70" s="92"/>
    </row>
    <row r="71" spans="1:19" ht="16.149999999999999" customHeight="1">
      <c r="D71" s="703" t="s">
        <v>435</v>
      </c>
      <c r="E71" s="961"/>
      <c r="F71" s="961"/>
      <c r="G71" s="199"/>
      <c r="H71" s="32"/>
    </row>
    <row r="72" spans="1:19" ht="16.149999999999999" customHeight="1">
      <c r="D72" s="703" t="s">
        <v>507</v>
      </c>
      <c r="E72" s="961"/>
      <c r="F72" s="961"/>
      <c r="G72" s="199"/>
      <c r="H72" s="32"/>
    </row>
    <row r="73" spans="1:19">
      <c r="E73" s="561"/>
      <c r="F73" s="92"/>
      <c r="G73" s="806"/>
      <c r="H73" s="561"/>
      <c r="K73" s="561"/>
    </row>
    <row r="74" spans="1:19">
      <c r="D74" s="703"/>
      <c r="E74" s="961"/>
      <c r="F74" s="961"/>
      <c r="G74" s="199"/>
      <c r="H74" s="32"/>
    </row>
    <row r="75" spans="1:19">
      <c r="D75" s="703"/>
      <c r="E75" s="961"/>
      <c r="F75" s="961"/>
      <c r="G75" s="972"/>
      <c r="H75" s="32"/>
    </row>
    <row r="76" spans="1:19">
      <c r="D76" s="703"/>
      <c r="E76" s="961"/>
      <c r="F76" s="961"/>
      <c r="G76" s="199"/>
      <c r="H76" s="32"/>
    </row>
    <row r="77" spans="1:19">
      <c r="D77" s="703"/>
      <c r="E77" s="961"/>
      <c r="F77" s="961"/>
      <c r="G77" s="199"/>
      <c r="H77" s="32"/>
    </row>
    <row r="78" spans="1:19">
      <c r="D78" s="703"/>
      <c r="E78" s="961"/>
      <c r="F78" s="961"/>
      <c r="G78" s="199"/>
      <c r="H78" s="32"/>
    </row>
    <row r="79" spans="1:19">
      <c r="D79" s="703"/>
      <c r="E79" s="961"/>
      <c r="F79" s="961"/>
      <c r="G79" s="199"/>
      <c r="H79" s="32"/>
    </row>
    <row r="80" spans="1:19">
      <c r="D80" s="703"/>
      <c r="E80" s="961"/>
      <c r="F80" s="961"/>
      <c r="G80" s="199"/>
      <c r="H80" s="32"/>
    </row>
    <row r="81" spans="4:9">
      <c r="D81" s="962"/>
      <c r="E81" s="961"/>
      <c r="F81" s="961"/>
      <c r="G81" s="199"/>
      <c r="H81" s="32"/>
      <c r="I81" s="703"/>
    </row>
    <row r="82" spans="4:9">
      <c r="D82" s="962"/>
      <c r="E82" s="961"/>
      <c r="F82" s="961"/>
      <c r="G82" s="199"/>
      <c r="H82" s="32"/>
      <c r="I82" s="703"/>
    </row>
    <row r="83" spans="4:9">
      <c r="D83" s="962"/>
      <c r="E83" s="961"/>
      <c r="F83" s="961"/>
      <c r="G83" s="199"/>
      <c r="H83" s="32"/>
      <c r="I83" s="703"/>
    </row>
    <row r="84" spans="4:9">
      <c r="D84" s="962"/>
      <c r="E84" s="961"/>
      <c r="F84" s="961"/>
      <c r="G84" s="199"/>
      <c r="H84" s="32"/>
      <c r="I84" s="703"/>
    </row>
    <row r="85" spans="4:9">
      <c r="D85" s="962"/>
      <c r="E85" s="961"/>
      <c r="F85" s="961"/>
      <c r="G85" s="199"/>
      <c r="H85" s="32"/>
      <c r="I85" s="703"/>
    </row>
    <row r="86" spans="4:9">
      <c r="D86" s="962"/>
      <c r="E86" s="961"/>
      <c r="F86" s="961"/>
      <c r="G86" s="199"/>
      <c r="H86" s="32"/>
      <c r="I86" s="703"/>
    </row>
    <row r="87" spans="4:9">
      <c r="D87" s="962"/>
      <c r="E87" s="961"/>
      <c r="F87" s="961"/>
      <c r="G87" s="199"/>
      <c r="H87" s="32"/>
      <c r="I87" s="703"/>
    </row>
    <row r="88" spans="4:9">
      <c r="D88" s="962"/>
      <c r="E88" s="704"/>
      <c r="F88" s="704"/>
      <c r="G88" s="963"/>
      <c r="H88" s="32"/>
      <c r="I88" s="704"/>
    </row>
    <row r="89" spans="4:9">
      <c r="D89" s="962"/>
      <c r="E89" s="704"/>
      <c r="F89" s="704"/>
      <c r="G89" s="963"/>
      <c r="H89" s="32"/>
      <c r="I89" s="704"/>
    </row>
    <row r="90" spans="4:9">
      <c r="D90" s="962"/>
      <c r="E90" s="704"/>
      <c r="F90" s="704"/>
      <c r="G90" s="963"/>
      <c r="H90" s="32"/>
      <c r="I90" s="704"/>
    </row>
    <row r="91" spans="4:9">
      <c r="D91" s="962"/>
      <c r="E91" s="704"/>
      <c r="F91" s="704"/>
      <c r="G91" s="963"/>
      <c r="H91" s="32"/>
      <c r="I91" s="704"/>
    </row>
    <row r="92" spans="4:9">
      <c r="D92" s="962"/>
      <c r="E92" s="704"/>
      <c r="F92" s="704"/>
      <c r="G92" s="963"/>
      <c r="H92" s="32"/>
      <c r="I92" s="704"/>
    </row>
    <row r="93" spans="4:9">
      <c r="D93" s="962"/>
      <c r="E93" s="704"/>
      <c r="F93" s="704"/>
      <c r="G93" s="963"/>
      <c r="H93" s="32"/>
      <c r="I93" s="704"/>
    </row>
    <row r="94" spans="4:9">
      <c r="D94" s="962"/>
      <c r="E94" s="703"/>
      <c r="F94" s="703"/>
      <c r="G94" s="964"/>
      <c r="H94" s="32"/>
      <c r="I94" s="703"/>
    </row>
    <row r="95" spans="4:9">
      <c r="D95" s="962"/>
      <c r="E95" s="703"/>
      <c r="F95" s="703"/>
      <c r="G95" s="964"/>
      <c r="H95" s="32"/>
      <c r="I95" s="703"/>
    </row>
    <row r="96" spans="4:9">
      <c r="D96" s="962"/>
      <c r="E96" s="703"/>
      <c r="F96" s="703"/>
      <c r="G96" s="964"/>
      <c r="H96" s="32"/>
      <c r="I96" s="703"/>
    </row>
    <row r="97" spans="4:8">
      <c r="D97" s="962"/>
      <c r="E97" s="962"/>
      <c r="F97" s="962"/>
      <c r="G97" s="965"/>
      <c r="H97" s="33"/>
    </row>
    <row r="98" spans="4:8">
      <c r="D98" s="962"/>
      <c r="E98" s="962"/>
      <c r="F98" s="962"/>
      <c r="G98" s="965"/>
      <c r="H98" s="33"/>
    </row>
    <row r="99" spans="4:8">
      <c r="D99" s="962"/>
      <c r="E99" s="962"/>
      <c r="F99" s="962"/>
      <c r="G99" s="965"/>
      <c r="H99" s="33"/>
    </row>
    <row r="100" spans="4:8">
      <c r="D100" s="962"/>
      <c r="E100" s="962"/>
      <c r="F100" s="962"/>
      <c r="G100" s="965"/>
      <c r="H100" s="33"/>
    </row>
    <row r="101" spans="4:8">
      <c r="D101" s="962"/>
      <c r="E101" s="962"/>
      <c r="F101" s="962"/>
      <c r="G101" s="965"/>
      <c r="H101" s="33"/>
    </row>
    <row r="102" spans="4:8">
      <c r="D102" s="962"/>
      <c r="E102" s="962"/>
      <c r="F102" s="962"/>
      <c r="G102" s="965"/>
      <c r="H102" s="33"/>
    </row>
    <row r="103" spans="4:8">
      <c r="D103" s="962"/>
      <c r="E103" s="962"/>
      <c r="F103" s="962"/>
      <c r="G103" s="965"/>
      <c r="H103" s="33"/>
    </row>
  </sheetData>
  <sortState ref="A25:K40">
    <sortCondition ref="C25:C40"/>
  </sortState>
  <mergeCells count="4">
    <mergeCell ref="D4:K4"/>
    <mergeCell ref="D1:K1"/>
    <mergeCell ref="D2:K2"/>
    <mergeCell ref="L4:O4"/>
  </mergeCells>
  <phoneticPr fontId="0" type="noConversion"/>
  <printOptions horizontalCentered="1"/>
  <pageMargins left="0.7" right="0.7" top="0.75" bottom="0.75" header="0.3" footer="0.3"/>
  <pageSetup scale="69" orientation="portrait" horizontalDpi="4294967293" r:id="rId1"/>
  <headerFooter>
    <oddHeader>&amp;C&amp;A</oddHeader>
    <oddFooter>&amp;C&amp;F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15"/>
  <sheetViews>
    <sheetView topLeftCell="A56" zoomScale="80" zoomScaleNormal="80" zoomScaleSheetLayoutView="75" zoomScalePageLayoutView="80" workbookViewId="0">
      <selection activeCell="H65" sqref="H65"/>
    </sheetView>
  </sheetViews>
  <sheetFormatPr defaultColWidth="17.42578125" defaultRowHeight="14.25"/>
  <cols>
    <col min="1" max="3" width="10.7109375" style="779" customWidth="1"/>
    <col min="4" max="4" width="45.7109375" style="779" customWidth="1"/>
    <col min="5" max="5" width="15.42578125" style="852" customWidth="1"/>
    <col min="6" max="6" width="12.7109375" style="709" bestFit="1" customWidth="1"/>
    <col min="7" max="7" width="12.7109375" style="852" bestFit="1" customWidth="1"/>
    <col min="8" max="8" width="15.7109375" style="865" bestFit="1" customWidth="1"/>
    <col min="9" max="9" width="5.42578125" style="355" bestFit="1" customWidth="1"/>
    <col min="10" max="10" width="13.28515625" style="852" customWidth="1"/>
    <col min="11" max="11" width="11.7109375" style="852" customWidth="1"/>
    <col min="12" max="16384" width="17.42578125" style="779"/>
  </cols>
  <sheetData>
    <row r="1" spans="1:19" ht="17.25" customHeight="1">
      <c r="D1" s="1086" t="s">
        <v>0</v>
      </c>
      <c r="E1" s="1086"/>
      <c r="F1" s="1086"/>
      <c r="G1" s="1086"/>
      <c r="H1" s="1086"/>
      <c r="I1" s="1086"/>
      <c r="J1" s="1086"/>
      <c r="K1" s="1086"/>
      <c r="M1" s="779" t="s">
        <v>381</v>
      </c>
      <c r="N1" s="779" t="s">
        <v>382</v>
      </c>
    </row>
    <row r="2" spans="1:19" ht="17.25" customHeight="1">
      <c r="D2" s="1087" t="str">
        <f>Street!D2</f>
        <v>FISCAL YEAR 2022-2023</v>
      </c>
      <c r="E2" s="1087"/>
      <c r="F2" s="1087"/>
      <c r="G2" s="1087"/>
      <c r="H2" s="1087"/>
      <c r="I2" s="1087"/>
      <c r="J2" s="1087"/>
      <c r="K2" s="1087"/>
      <c r="M2" s="779" t="s">
        <v>568</v>
      </c>
      <c r="N2" s="780" t="s">
        <v>568</v>
      </c>
    </row>
    <row r="3" spans="1:19" ht="12" customHeight="1">
      <c r="D3" s="846"/>
      <c r="E3" s="846"/>
      <c r="F3" s="847"/>
      <c r="G3" s="846"/>
      <c r="H3" s="847"/>
      <c r="I3" s="36"/>
      <c r="J3" s="846"/>
      <c r="K3" s="846"/>
    </row>
    <row r="4" spans="1:19" ht="18" customHeight="1">
      <c r="D4" s="1083" t="s">
        <v>126</v>
      </c>
      <c r="E4" s="1083"/>
      <c r="F4" s="1083"/>
      <c r="G4" s="1083"/>
      <c r="H4" s="1083"/>
      <c r="I4" s="1083"/>
      <c r="J4" s="1083"/>
      <c r="K4" s="1083"/>
    </row>
    <row r="5" spans="1:19" ht="11.25" customHeight="1">
      <c r="D5" s="846"/>
      <c r="E5" s="846"/>
      <c r="F5" s="847"/>
      <c r="G5" s="846"/>
      <c r="H5" s="847"/>
      <c r="I5" s="36"/>
      <c r="J5" s="846"/>
      <c r="K5" s="846"/>
      <c r="M5" s="837"/>
    </row>
    <row r="6" spans="1:19" ht="18.75" customHeight="1">
      <c r="D6" s="848"/>
      <c r="E6" s="408" t="s">
        <v>54</v>
      </c>
      <c r="F6" s="408" t="s">
        <v>54</v>
      </c>
      <c r="G6" s="56" t="s">
        <v>1</v>
      </c>
      <c r="H6" s="56" t="s">
        <v>2</v>
      </c>
      <c r="I6" s="57"/>
      <c r="J6" s="837" t="s">
        <v>376</v>
      </c>
      <c r="K6" s="58" t="s">
        <v>377</v>
      </c>
      <c r="L6" s="849"/>
      <c r="M6" s="939"/>
      <c r="N6" s="849"/>
      <c r="O6" s="849"/>
    </row>
    <row r="7" spans="1:19">
      <c r="D7" s="848"/>
      <c r="E7" s="408"/>
      <c r="F7" s="408"/>
      <c r="G7" s="56" t="s">
        <v>3</v>
      </c>
      <c r="H7" s="56" t="s">
        <v>56</v>
      </c>
      <c r="I7" s="57"/>
      <c r="J7" s="837" t="s">
        <v>56</v>
      </c>
      <c r="K7" s="58" t="s">
        <v>56</v>
      </c>
      <c r="L7" s="850"/>
      <c r="M7" s="851"/>
      <c r="N7" s="850"/>
      <c r="O7" s="850"/>
      <c r="P7" s="397"/>
      <c r="Q7" s="397"/>
      <c r="R7" s="397"/>
      <c r="S7" s="397"/>
    </row>
    <row r="8" spans="1:19">
      <c r="D8" s="848"/>
      <c r="E8" s="797" t="s">
        <v>330</v>
      </c>
      <c r="F8" s="797" t="s">
        <v>366</v>
      </c>
      <c r="G8" s="797" t="s">
        <v>472</v>
      </c>
      <c r="H8" s="1033" t="s">
        <v>472</v>
      </c>
      <c r="I8" s="48"/>
      <c r="J8" s="782" t="str">
        <f>H8</f>
        <v>2021-22</v>
      </c>
      <c r="K8" s="782" t="str">
        <f>J8</f>
        <v>2021-22</v>
      </c>
    </row>
    <row r="9" spans="1:19">
      <c r="D9" s="5" t="s">
        <v>403</v>
      </c>
      <c r="E9" s="354"/>
      <c r="G9" s="855"/>
      <c r="H9" s="943"/>
      <c r="J9" s="854"/>
      <c r="L9" s="850"/>
      <c r="M9" s="397"/>
      <c r="N9" s="850"/>
      <c r="O9" s="850"/>
      <c r="P9" s="397"/>
      <c r="Q9" s="397"/>
      <c r="R9" s="397"/>
      <c r="S9" s="397"/>
    </row>
    <row r="10" spans="1:19" ht="18" customHeight="1">
      <c r="A10" s="779">
        <v>500</v>
      </c>
      <c r="B10" s="779">
        <v>0</v>
      </c>
      <c r="C10" s="779">
        <v>40000</v>
      </c>
      <c r="D10" s="779" t="s">
        <v>6</v>
      </c>
      <c r="E10" s="855">
        <v>723308</v>
      </c>
      <c r="F10" s="855">
        <f>E101</f>
        <v>759714</v>
      </c>
      <c r="G10" s="855">
        <v>625000</v>
      </c>
      <c r="H10" s="1034">
        <v>625000</v>
      </c>
      <c r="I10" s="713"/>
      <c r="J10" s="381">
        <f t="shared" ref="J10:J21" si="0">IF($M$2="Yes",H10,0)</f>
        <v>0</v>
      </c>
      <c r="K10" s="381">
        <f t="shared" ref="K10:K21" si="1">IF($N$2="Yes",J10,0)</f>
        <v>0</v>
      </c>
      <c r="L10" s="850"/>
      <c r="M10" s="856"/>
      <c r="N10" s="850"/>
      <c r="O10" s="850"/>
      <c r="P10" s="397"/>
      <c r="Q10" s="397"/>
      <c r="R10" s="397"/>
      <c r="S10" s="397"/>
    </row>
    <row r="11" spans="1:19" ht="18" customHeight="1">
      <c r="A11" s="779">
        <v>500</v>
      </c>
      <c r="B11" s="779">
        <v>0</v>
      </c>
      <c r="C11" s="779">
        <v>42020</v>
      </c>
      <c r="D11" s="779" t="s">
        <v>9</v>
      </c>
      <c r="E11" s="857">
        <v>24445</v>
      </c>
      <c r="F11" s="857">
        <v>27000</v>
      </c>
      <c r="G11" s="857">
        <v>2000</v>
      </c>
      <c r="H11" s="943">
        <v>2000</v>
      </c>
      <c r="I11" s="713"/>
      <c r="J11" s="707">
        <f t="shared" si="0"/>
        <v>0</v>
      </c>
      <c r="K11" s="857">
        <f t="shared" si="1"/>
        <v>0</v>
      </c>
      <c r="L11" s="850"/>
      <c r="M11" s="856"/>
      <c r="N11" s="850"/>
      <c r="O11" s="850"/>
      <c r="P11" s="397"/>
      <c r="Q11" s="397"/>
      <c r="R11" s="397"/>
      <c r="S11" s="397"/>
    </row>
    <row r="12" spans="1:19">
      <c r="A12" s="779">
        <v>500</v>
      </c>
      <c r="B12" s="779">
        <v>0</v>
      </c>
      <c r="C12" s="779">
        <v>42032</v>
      </c>
      <c r="D12" s="779" t="s">
        <v>127</v>
      </c>
      <c r="E12" s="857">
        <v>421687</v>
      </c>
      <c r="F12" s="857">
        <v>435363</v>
      </c>
      <c r="G12" s="857">
        <v>420000</v>
      </c>
      <c r="H12" s="943">
        <v>420000</v>
      </c>
      <c r="I12" s="713"/>
      <c r="J12" s="707">
        <f t="shared" si="0"/>
        <v>0</v>
      </c>
      <c r="K12" s="857">
        <f t="shared" si="1"/>
        <v>0</v>
      </c>
      <c r="L12" s="850"/>
      <c r="M12" s="926"/>
      <c r="N12" s="850"/>
      <c r="O12" s="850"/>
      <c r="P12" s="397"/>
      <c r="Q12" s="397"/>
      <c r="R12" s="397"/>
      <c r="S12" s="397"/>
    </row>
    <row r="13" spans="1:19">
      <c r="A13" s="779">
        <v>500</v>
      </c>
      <c r="B13" s="779">
        <v>0</v>
      </c>
      <c r="C13" s="779">
        <v>42035</v>
      </c>
      <c r="D13" s="779" t="s">
        <v>129</v>
      </c>
      <c r="E13" s="857">
        <v>121</v>
      </c>
      <c r="F13" s="857">
        <f>200+3102</f>
        <v>3302</v>
      </c>
      <c r="G13" s="857">
        <v>500</v>
      </c>
      <c r="H13" s="943">
        <v>500</v>
      </c>
      <c r="I13" s="442"/>
      <c r="J13" s="707">
        <f t="shared" si="0"/>
        <v>0</v>
      </c>
      <c r="K13" s="857">
        <f t="shared" si="1"/>
        <v>0</v>
      </c>
      <c r="L13" s="850"/>
      <c r="M13" s="856"/>
      <c r="N13" s="850"/>
      <c r="O13" s="850"/>
      <c r="P13" s="397"/>
      <c r="Q13" s="397"/>
      <c r="R13" s="397"/>
      <c r="S13" s="397"/>
    </row>
    <row r="14" spans="1:19">
      <c r="A14" s="779">
        <v>500</v>
      </c>
      <c r="B14" s="779">
        <v>0</v>
      </c>
      <c r="C14" s="779">
        <v>42036</v>
      </c>
      <c r="D14" s="779" t="s">
        <v>128</v>
      </c>
      <c r="E14" s="857">
        <v>190353</v>
      </c>
      <c r="F14" s="857">
        <v>196064</v>
      </c>
      <c r="G14" s="857">
        <v>190000</v>
      </c>
      <c r="H14" s="943">
        <v>190000</v>
      </c>
      <c r="I14" s="713"/>
      <c r="J14" s="707">
        <f t="shared" si="0"/>
        <v>0</v>
      </c>
      <c r="K14" s="857">
        <f t="shared" si="1"/>
        <v>0</v>
      </c>
      <c r="L14" s="850"/>
      <c r="M14" s="856"/>
      <c r="N14" s="850"/>
      <c r="O14" s="850"/>
      <c r="P14" s="397"/>
      <c r="Q14" s="397"/>
      <c r="R14" s="397"/>
      <c r="S14" s="397"/>
    </row>
    <row r="15" spans="1:19">
      <c r="A15" s="779">
        <v>500</v>
      </c>
      <c r="B15" s="779">
        <v>0</v>
      </c>
      <c r="C15" s="779">
        <v>42045</v>
      </c>
      <c r="D15" s="779" t="s">
        <v>292</v>
      </c>
      <c r="E15" s="855">
        <v>14668</v>
      </c>
      <c r="F15" s="855">
        <v>9020</v>
      </c>
      <c r="G15" s="857">
        <v>4000</v>
      </c>
      <c r="H15" s="943">
        <v>4000</v>
      </c>
      <c r="I15" s="713"/>
      <c r="J15" s="707">
        <f t="shared" si="0"/>
        <v>0</v>
      </c>
      <c r="K15" s="857">
        <f t="shared" si="1"/>
        <v>0</v>
      </c>
      <c r="L15" s="397"/>
      <c r="M15" s="856"/>
      <c r="N15" s="397"/>
      <c r="O15" s="397"/>
      <c r="P15" s="397"/>
      <c r="Q15" s="397"/>
      <c r="R15" s="397"/>
      <c r="S15" s="397"/>
    </row>
    <row r="16" spans="1:19">
      <c r="A16" s="779">
        <v>500</v>
      </c>
      <c r="B16" s="779">
        <v>0</v>
      </c>
      <c r="C16" s="779">
        <v>46055</v>
      </c>
      <c r="D16" s="779" t="s">
        <v>45</v>
      </c>
      <c r="E16" s="857">
        <v>0</v>
      </c>
      <c r="F16" s="857">
        <v>3532</v>
      </c>
      <c r="G16" s="857">
        <v>1000</v>
      </c>
      <c r="H16" s="943">
        <v>1000</v>
      </c>
      <c r="I16" s="442"/>
      <c r="J16" s="707">
        <f t="shared" si="0"/>
        <v>0</v>
      </c>
      <c r="K16" s="857">
        <f t="shared" si="1"/>
        <v>0</v>
      </c>
      <c r="L16" s="850"/>
      <c r="M16" s="856"/>
      <c r="N16" s="850"/>
      <c r="O16" s="850"/>
      <c r="P16" s="397"/>
      <c r="Q16" s="397"/>
      <c r="R16" s="397"/>
      <c r="S16" s="397"/>
    </row>
    <row r="17" spans="1:19">
      <c r="A17" s="779">
        <v>500</v>
      </c>
      <c r="B17" s="779">
        <v>0</v>
      </c>
      <c r="C17" s="779">
        <v>46057</v>
      </c>
      <c r="D17" s="779" t="s">
        <v>12</v>
      </c>
      <c r="E17" s="857">
        <v>6695</v>
      </c>
      <c r="F17" s="857">
        <f>6702</f>
        <v>6702</v>
      </c>
      <c r="G17" s="857">
        <v>500</v>
      </c>
      <c r="H17" s="943">
        <v>500</v>
      </c>
      <c r="I17" s="442"/>
      <c r="J17" s="707">
        <f t="shared" si="0"/>
        <v>0</v>
      </c>
      <c r="K17" s="857">
        <f t="shared" si="1"/>
        <v>0</v>
      </c>
      <c r="L17" s="850"/>
      <c r="M17" s="856"/>
      <c r="N17" s="850"/>
      <c r="O17" s="850"/>
      <c r="P17" s="397"/>
      <c r="Q17" s="397"/>
      <c r="R17" s="397"/>
      <c r="S17" s="397"/>
    </row>
    <row r="18" spans="1:19">
      <c r="A18" s="779">
        <v>500</v>
      </c>
      <c r="B18" s="779">
        <v>0</v>
      </c>
      <c r="C18" s="779">
        <v>49010</v>
      </c>
      <c r="D18" s="779" t="s">
        <v>367</v>
      </c>
      <c r="E18" s="918">
        <v>0</v>
      </c>
      <c r="F18" s="918">
        <v>0</v>
      </c>
      <c r="G18" s="918">
        <v>646000</v>
      </c>
      <c r="H18" s="1035">
        <v>646000</v>
      </c>
      <c r="I18" s="405"/>
      <c r="J18" s="888">
        <f t="shared" si="0"/>
        <v>0</v>
      </c>
      <c r="K18" s="918">
        <f t="shared" si="1"/>
        <v>0</v>
      </c>
      <c r="L18" s="1005"/>
      <c r="M18" s="856"/>
      <c r="N18" s="397"/>
      <c r="O18" s="397"/>
      <c r="P18" s="397"/>
      <c r="Q18" s="397"/>
      <c r="R18" s="397"/>
      <c r="S18" s="397"/>
    </row>
    <row r="19" spans="1:19">
      <c r="A19" s="862">
        <v>500</v>
      </c>
      <c r="B19" s="862">
        <v>0</v>
      </c>
      <c r="C19" s="862">
        <v>49100</v>
      </c>
      <c r="D19" s="859" t="s">
        <v>498</v>
      </c>
      <c r="E19" s="1005">
        <v>0</v>
      </c>
      <c r="F19" s="854">
        <v>9577</v>
      </c>
      <c r="G19" s="854">
        <v>9577</v>
      </c>
      <c r="H19" s="1036">
        <f>'Combined GF Revenues'!H63</f>
        <v>9577</v>
      </c>
      <c r="I19" s="405"/>
      <c r="J19" s="888">
        <f t="shared" si="0"/>
        <v>0</v>
      </c>
      <c r="K19" s="1013">
        <f t="shared" si="1"/>
        <v>0</v>
      </c>
      <c r="L19" s="397"/>
      <c r="M19" s="856"/>
      <c r="N19" s="397"/>
      <c r="O19" s="397"/>
      <c r="P19" s="397"/>
      <c r="Q19" s="397"/>
      <c r="R19" s="397"/>
      <c r="S19" s="397"/>
    </row>
    <row r="20" spans="1:19">
      <c r="A20" s="779">
        <v>500</v>
      </c>
      <c r="B20" s="779">
        <v>0</v>
      </c>
      <c r="C20" s="779">
        <v>49600</v>
      </c>
      <c r="D20" s="779" t="s">
        <v>488</v>
      </c>
      <c r="E20" s="918">
        <v>8209</v>
      </c>
      <c r="F20" s="918">
        <v>0</v>
      </c>
      <c r="G20" s="918">
        <v>0</v>
      </c>
      <c r="H20" s="1035">
        <f>Reserve!H35</f>
        <v>0</v>
      </c>
      <c r="I20" s="405"/>
      <c r="J20" s="888">
        <f t="shared" si="0"/>
        <v>0</v>
      </c>
      <c r="K20" s="918">
        <f t="shared" si="1"/>
        <v>0</v>
      </c>
      <c r="L20" s="397" t="s">
        <v>542</v>
      </c>
      <c r="M20" s="856"/>
      <c r="N20" s="397"/>
      <c r="O20" s="397"/>
      <c r="P20" s="397"/>
      <c r="Q20" s="397"/>
      <c r="R20" s="397"/>
      <c r="S20" s="397"/>
    </row>
    <row r="21" spans="1:19" s="862" customFormat="1">
      <c r="A21" s="779">
        <v>500</v>
      </c>
      <c r="B21" s="779">
        <v>0</v>
      </c>
      <c r="C21" s="779">
        <v>47100</v>
      </c>
      <c r="D21" s="779" t="s">
        <v>522</v>
      </c>
      <c r="E21" s="858">
        <v>0</v>
      </c>
      <c r="F21" s="858">
        <v>0</v>
      </c>
      <c r="G21" s="858">
        <v>259500</v>
      </c>
      <c r="H21" s="1037">
        <v>259500</v>
      </c>
      <c r="I21" s="405"/>
      <c r="J21" s="708">
        <f t="shared" si="0"/>
        <v>0</v>
      </c>
      <c r="K21" s="858">
        <f t="shared" si="1"/>
        <v>0</v>
      </c>
      <c r="L21" s="861"/>
      <c r="M21" s="856"/>
      <c r="N21" s="861"/>
      <c r="O21" s="861"/>
      <c r="P21" s="861"/>
      <c r="Q21" s="861"/>
      <c r="R21" s="861"/>
      <c r="S21" s="861"/>
    </row>
    <row r="22" spans="1:19" ht="12.75">
      <c r="D22" s="5" t="s">
        <v>404</v>
      </c>
      <c r="E22" s="359">
        <f t="shared" ref="E22:G22" si="2">SUM(E10:E21)</f>
        <v>1389486</v>
      </c>
      <c r="F22" s="359">
        <f t="shared" si="2"/>
        <v>1450274</v>
      </c>
      <c r="G22" s="359">
        <f t="shared" si="2"/>
        <v>2158077</v>
      </c>
      <c r="H22" s="359">
        <f>SUM(H10:H21)</f>
        <v>2158077</v>
      </c>
      <c r="I22" s="359"/>
      <c r="J22" s="359">
        <f t="shared" ref="J22:K22" si="3">SUM(J10:J21)</f>
        <v>0</v>
      </c>
      <c r="K22" s="359">
        <f t="shared" si="3"/>
        <v>0</v>
      </c>
      <c r="L22" s="397"/>
      <c r="M22" s="863"/>
      <c r="N22" s="856"/>
      <c r="O22" s="397"/>
      <c r="P22" s="397"/>
      <c r="Q22" s="397"/>
      <c r="R22" s="397"/>
      <c r="S22" s="397"/>
    </row>
    <row r="23" spans="1:19">
      <c r="D23" s="864" t="s">
        <v>293</v>
      </c>
      <c r="E23" s="357">
        <f>SUM(E11:E21)</f>
        <v>666178</v>
      </c>
      <c r="F23" s="357">
        <f t="shared" ref="F23:H23" si="4">SUM(F11:F21)</f>
        <v>690560</v>
      </c>
      <c r="G23" s="357">
        <f t="shared" si="4"/>
        <v>1533077</v>
      </c>
      <c r="H23" s="357">
        <f t="shared" si="4"/>
        <v>1533077</v>
      </c>
      <c r="I23" s="358"/>
      <c r="J23" s="357">
        <f t="shared" ref="J23:K23" si="5">SUM(J11:J21)</f>
        <v>0</v>
      </c>
      <c r="K23" s="357">
        <f t="shared" si="5"/>
        <v>0</v>
      </c>
      <c r="L23" s="397"/>
      <c r="M23" s="863"/>
      <c r="N23" s="856"/>
      <c r="O23" s="397"/>
      <c r="P23" s="397"/>
      <c r="Q23" s="397"/>
      <c r="R23" s="397"/>
      <c r="S23" s="397"/>
    </row>
    <row r="24" spans="1:19" s="5" customFormat="1" ht="9" customHeight="1">
      <c r="D24" s="779"/>
      <c r="E24" s="354"/>
      <c r="F24" s="707"/>
      <c r="G24" s="865"/>
      <c r="H24" s="865"/>
      <c r="I24" s="355"/>
      <c r="J24" s="707"/>
      <c r="K24" s="865"/>
      <c r="L24" s="866"/>
      <c r="M24" s="867"/>
      <c r="N24" s="866"/>
      <c r="O24" s="866"/>
      <c r="P24" s="868"/>
      <c r="Q24" s="868"/>
      <c r="R24" s="868"/>
      <c r="S24" s="868"/>
    </row>
    <row r="25" spans="1:19">
      <c r="D25" s="5" t="s">
        <v>405</v>
      </c>
      <c r="E25" s="360"/>
      <c r="F25" s="365"/>
      <c r="G25" s="356"/>
      <c r="H25" s="710"/>
      <c r="I25" s="358"/>
      <c r="J25" s="362"/>
      <c r="K25" s="356"/>
      <c r="L25" s="856"/>
      <c r="M25" s="869"/>
      <c r="N25" s="856"/>
      <c r="O25" s="856"/>
      <c r="P25" s="856"/>
      <c r="Q25" s="397"/>
      <c r="R25" s="397"/>
      <c r="S25" s="397"/>
    </row>
    <row r="26" spans="1:19">
      <c r="A26" s="779" t="s">
        <v>561</v>
      </c>
      <c r="D26" s="779" t="s">
        <v>220</v>
      </c>
      <c r="E26" s="857">
        <v>128820</v>
      </c>
      <c r="F26" s="857">
        <v>149267</v>
      </c>
      <c r="G26" s="707">
        <v>157735.2524401517</v>
      </c>
      <c r="H26" s="943">
        <f>'Personnel by Fund'!N60</f>
        <v>178414.57153980705</v>
      </c>
      <c r="I26" s="711"/>
      <c r="J26" s="707">
        <f t="shared" ref="J26:J29" si="6">IF($M$2="Yes",H26,0)</f>
        <v>0</v>
      </c>
      <c r="K26" s="857">
        <f t="shared" ref="K26:K29" si="7">IF($N$2="Yes",J26,0)</f>
        <v>0</v>
      </c>
      <c r="L26" s="856"/>
      <c r="M26" s="869"/>
      <c r="N26" s="856"/>
      <c r="O26" s="856"/>
      <c r="P26" s="856"/>
      <c r="Q26" s="397"/>
      <c r="R26" s="397"/>
      <c r="S26" s="397"/>
    </row>
    <row r="27" spans="1:19" ht="12.75">
      <c r="A27" s="779">
        <v>500</v>
      </c>
      <c r="B27" s="779">
        <v>420</v>
      </c>
      <c r="C27" s="779">
        <v>51030</v>
      </c>
      <c r="D27" s="870" t="s">
        <v>198</v>
      </c>
      <c r="E27" s="705">
        <v>12139</v>
      </c>
      <c r="F27" s="705">
        <v>14579</v>
      </c>
      <c r="G27" s="707">
        <v>21799.01188722896</v>
      </c>
      <c r="H27" s="943">
        <f>'Personnel by Fund'!N61</f>
        <v>24656.893786801331</v>
      </c>
      <c r="I27" s="857"/>
      <c r="J27" s="707">
        <f t="shared" si="6"/>
        <v>0</v>
      </c>
      <c r="K27" s="705">
        <f t="shared" si="7"/>
        <v>0</v>
      </c>
      <c r="L27" s="850"/>
      <c r="M27" s="871"/>
      <c r="N27" s="850"/>
      <c r="O27" s="850"/>
      <c r="P27" s="872"/>
      <c r="Q27" s="397"/>
      <c r="R27" s="397"/>
      <c r="S27" s="397"/>
    </row>
    <row r="28" spans="1:19" ht="12.75">
      <c r="A28" s="779">
        <v>500</v>
      </c>
      <c r="B28" s="779">
        <v>420</v>
      </c>
      <c r="C28" s="779">
        <v>51010</v>
      </c>
      <c r="D28" s="873" t="s">
        <v>260</v>
      </c>
      <c r="E28" s="705">
        <v>41316</v>
      </c>
      <c r="F28" s="705">
        <v>54572</v>
      </c>
      <c r="G28" s="707">
        <v>53435.3</v>
      </c>
      <c r="H28" s="943">
        <f>'Personnel by Fund'!N62</f>
        <v>53435.3</v>
      </c>
      <c r="I28" s="857"/>
      <c r="J28" s="707">
        <f t="shared" si="6"/>
        <v>0</v>
      </c>
      <c r="K28" s="705">
        <f t="shared" si="7"/>
        <v>0</v>
      </c>
      <c r="L28" s="850"/>
      <c r="M28" s="871"/>
      <c r="N28" s="850"/>
      <c r="O28" s="850"/>
      <c r="P28" s="872"/>
      <c r="Q28" s="397"/>
      <c r="R28" s="397"/>
      <c r="S28" s="397"/>
    </row>
    <row r="29" spans="1:19">
      <c r="A29" s="779">
        <v>500</v>
      </c>
      <c r="B29" s="779">
        <v>420</v>
      </c>
      <c r="C29" s="779">
        <v>51020</v>
      </c>
      <c r="D29" s="210" t="s">
        <v>276</v>
      </c>
      <c r="E29" s="706">
        <v>32682</v>
      </c>
      <c r="F29" s="706">
        <v>30795</v>
      </c>
      <c r="G29" s="708">
        <v>42840.894562745198</v>
      </c>
      <c r="H29" s="1037">
        <f>'Personnel by Fund'!N63</f>
        <v>48457.397630211592</v>
      </c>
      <c r="I29" s="712"/>
      <c r="J29" s="708">
        <f t="shared" si="6"/>
        <v>0</v>
      </c>
      <c r="K29" s="706">
        <f t="shared" si="7"/>
        <v>0</v>
      </c>
      <c r="L29" s="850"/>
      <c r="M29" s="871"/>
      <c r="N29" s="850"/>
      <c r="O29" s="850"/>
      <c r="P29" s="397"/>
      <c r="Q29" s="397"/>
      <c r="R29" s="397"/>
      <c r="S29" s="397"/>
    </row>
    <row r="30" spans="1:19">
      <c r="D30" s="874" t="s">
        <v>406</v>
      </c>
      <c r="E30" s="363">
        <f>SUM(E26:E29)</f>
        <v>214957</v>
      </c>
      <c r="F30" s="363">
        <f>SUM(F26:F29)</f>
        <v>249213</v>
      </c>
      <c r="G30" s="363">
        <f>SUM(G26:G29)</f>
        <v>275810.45889012585</v>
      </c>
      <c r="H30" s="363">
        <f>SUM(H26:H29)</f>
        <v>304964.16295681999</v>
      </c>
      <c r="I30" s="712"/>
      <c r="J30" s="364">
        <f>SUM(J26:J29)</f>
        <v>0</v>
      </c>
      <c r="K30" s="364">
        <f>SUM(K26:K29)</f>
        <v>0</v>
      </c>
      <c r="L30" s="850"/>
      <c r="M30" s="875"/>
      <c r="N30" s="850"/>
      <c r="O30" s="850"/>
      <c r="P30" s="397"/>
      <c r="Q30" s="397"/>
      <c r="R30" s="397"/>
      <c r="S30" s="397"/>
    </row>
    <row r="31" spans="1:19" ht="9" customHeight="1">
      <c r="E31" s="357"/>
      <c r="F31" s="855"/>
      <c r="G31" s="853"/>
      <c r="H31" s="857"/>
      <c r="I31" s="442"/>
      <c r="J31" s="707"/>
      <c r="K31" s="857"/>
      <c r="L31" s="850"/>
      <c r="M31" s="856"/>
      <c r="N31" s="850"/>
      <c r="O31" s="850"/>
      <c r="P31" s="397"/>
      <c r="Q31" s="397"/>
      <c r="R31" s="397"/>
      <c r="S31" s="397"/>
    </row>
    <row r="32" spans="1:19">
      <c r="D32" s="5" t="s">
        <v>48</v>
      </c>
      <c r="E32" s="360"/>
      <c r="F32" s="365"/>
      <c r="G32" s="356"/>
      <c r="H32" s="710"/>
      <c r="I32" s="711"/>
      <c r="J32" s="362"/>
      <c r="K32" s="710"/>
      <c r="L32" s="850"/>
      <c r="M32" s="869"/>
      <c r="N32" s="850"/>
      <c r="O32" s="850"/>
      <c r="P32" s="397"/>
      <c r="Q32" s="397"/>
      <c r="R32" s="397"/>
      <c r="S32" s="397"/>
    </row>
    <row r="33" spans="1:19">
      <c r="A33" s="779">
        <v>500</v>
      </c>
      <c r="B33" s="779">
        <v>420</v>
      </c>
      <c r="C33" s="779">
        <v>52001</v>
      </c>
      <c r="D33" s="779" t="s">
        <v>118</v>
      </c>
      <c r="E33" s="865">
        <v>13702</v>
      </c>
      <c r="F33" s="865">
        <v>17383</v>
      </c>
      <c r="G33" s="865">
        <v>30000</v>
      </c>
      <c r="H33" s="1039">
        <v>30000</v>
      </c>
      <c r="I33" s="442"/>
      <c r="J33" s="707">
        <f t="shared" ref="J33:J56" si="8">IF($M$2="Yes",H33,0)</f>
        <v>0</v>
      </c>
      <c r="K33" s="865">
        <f t="shared" ref="K33:K56" si="9">IF($N$2="Yes",J33,0)</f>
        <v>0</v>
      </c>
      <c r="L33" s="850"/>
      <c r="M33" s="876"/>
      <c r="N33" s="850"/>
      <c r="O33" s="850"/>
      <c r="P33" s="397"/>
      <c r="Q33" s="397"/>
      <c r="R33" s="397"/>
      <c r="S33" s="397"/>
    </row>
    <row r="34" spans="1:19">
      <c r="A34" s="779">
        <v>500</v>
      </c>
      <c r="B34" s="779">
        <v>420</v>
      </c>
      <c r="C34" s="779">
        <v>52002</v>
      </c>
      <c r="D34" s="779" t="s">
        <v>39</v>
      </c>
      <c r="E34" s="857">
        <v>102</v>
      </c>
      <c r="F34" s="857">
        <v>1062</v>
      </c>
      <c r="G34" s="857">
        <v>1000</v>
      </c>
      <c r="H34" s="943">
        <v>1000</v>
      </c>
      <c r="I34" s="442"/>
      <c r="J34" s="707">
        <f t="shared" si="8"/>
        <v>0</v>
      </c>
      <c r="K34" s="865">
        <f t="shared" si="9"/>
        <v>0</v>
      </c>
      <c r="L34" s="850"/>
      <c r="M34" s="876"/>
      <c r="N34" s="850"/>
      <c r="O34" s="850"/>
      <c r="P34" s="397"/>
      <c r="Q34" s="397"/>
      <c r="R34" s="397"/>
      <c r="S34" s="397"/>
    </row>
    <row r="35" spans="1:19">
      <c r="A35" s="779">
        <v>500</v>
      </c>
      <c r="B35" s="779">
        <v>420</v>
      </c>
      <c r="C35" s="779">
        <v>52010</v>
      </c>
      <c r="D35" s="779" t="s">
        <v>65</v>
      </c>
      <c r="E35" s="857">
        <v>0</v>
      </c>
      <c r="F35" s="857">
        <v>0</v>
      </c>
      <c r="G35" s="857">
        <v>100</v>
      </c>
      <c r="H35" s="943">
        <v>100</v>
      </c>
      <c r="I35" s="442"/>
      <c r="J35" s="707">
        <f t="shared" si="8"/>
        <v>0</v>
      </c>
      <c r="K35" s="865">
        <f t="shared" si="9"/>
        <v>0</v>
      </c>
      <c r="L35" s="397"/>
      <c r="M35" s="876"/>
      <c r="N35" s="397"/>
      <c r="O35" s="397"/>
      <c r="P35" s="397"/>
      <c r="Q35" s="397"/>
      <c r="R35" s="397"/>
      <c r="S35" s="397"/>
    </row>
    <row r="36" spans="1:19">
      <c r="A36" s="779">
        <v>500</v>
      </c>
      <c r="B36" s="779">
        <v>420</v>
      </c>
      <c r="C36" s="779">
        <v>52011</v>
      </c>
      <c r="D36" s="779" t="s">
        <v>89</v>
      </c>
      <c r="E36" s="857">
        <v>60733</v>
      </c>
      <c r="F36" s="857">
        <v>53895</v>
      </c>
      <c r="G36" s="857">
        <v>45000</v>
      </c>
      <c r="H36" s="943">
        <v>45000</v>
      </c>
      <c r="I36" s="442"/>
      <c r="J36" s="707">
        <f t="shared" si="8"/>
        <v>0</v>
      </c>
      <c r="K36" s="865">
        <f t="shared" si="9"/>
        <v>0</v>
      </c>
      <c r="L36" s="850"/>
      <c r="M36" s="876"/>
      <c r="N36" s="850"/>
      <c r="O36" s="850"/>
      <c r="P36" s="397"/>
      <c r="Q36" s="397"/>
      <c r="R36" s="397"/>
      <c r="S36" s="397"/>
    </row>
    <row r="37" spans="1:19">
      <c r="A37" s="779">
        <v>500</v>
      </c>
      <c r="B37" s="779">
        <v>420</v>
      </c>
      <c r="C37" s="779">
        <v>52013</v>
      </c>
      <c r="D37" s="779" t="s">
        <v>40</v>
      </c>
      <c r="E37" s="857">
        <v>0</v>
      </c>
      <c r="F37" s="857">
        <v>0</v>
      </c>
      <c r="G37" s="857">
        <v>3000</v>
      </c>
      <c r="H37" s="943">
        <v>3000</v>
      </c>
      <c r="I37" s="442"/>
      <c r="J37" s="707">
        <f t="shared" si="8"/>
        <v>0</v>
      </c>
      <c r="K37" s="865">
        <f t="shared" si="9"/>
        <v>0</v>
      </c>
      <c r="L37" s="850"/>
      <c r="M37" s="876"/>
      <c r="N37" s="850"/>
      <c r="O37" s="850"/>
      <c r="P37" s="397"/>
      <c r="Q37" s="397"/>
      <c r="R37" s="397"/>
      <c r="S37" s="397"/>
    </row>
    <row r="38" spans="1:19">
      <c r="A38" s="779">
        <v>500</v>
      </c>
      <c r="B38" s="779">
        <v>420</v>
      </c>
      <c r="C38" s="779">
        <v>52014</v>
      </c>
      <c r="D38" s="779" t="s">
        <v>99</v>
      </c>
      <c r="E38" s="918">
        <v>8084</v>
      </c>
      <c r="F38" s="918">
        <v>4782</v>
      </c>
      <c r="G38" s="918">
        <v>5500</v>
      </c>
      <c r="H38" s="1035">
        <v>5500</v>
      </c>
      <c r="I38" s="442"/>
      <c r="J38" s="888">
        <f t="shared" si="8"/>
        <v>0</v>
      </c>
      <c r="K38" s="887">
        <f t="shared" si="9"/>
        <v>0</v>
      </c>
      <c r="L38" s="861"/>
      <c r="M38" s="876"/>
      <c r="N38" s="397"/>
      <c r="O38" s="397"/>
      <c r="P38" s="397"/>
      <c r="Q38" s="397"/>
      <c r="R38" s="397"/>
      <c r="S38" s="397"/>
    </row>
    <row r="39" spans="1:19">
      <c r="A39" s="698">
        <v>500</v>
      </c>
      <c r="B39" s="698">
        <v>420</v>
      </c>
      <c r="C39" s="698">
        <v>52016</v>
      </c>
      <c r="D39" s="779" t="s">
        <v>94</v>
      </c>
      <c r="E39" s="865">
        <v>3342</v>
      </c>
      <c r="F39" s="865">
        <v>3610</v>
      </c>
      <c r="G39" s="865">
        <v>7600</v>
      </c>
      <c r="H39" s="1039">
        <f>19000*0.4</f>
        <v>7600</v>
      </c>
      <c r="I39" s="442"/>
      <c r="J39" s="707">
        <f t="shared" si="8"/>
        <v>0</v>
      </c>
      <c r="K39" s="865">
        <f t="shared" si="9"/>
        <v>0</v>
      </c>
      <c r="L39" s="861"/>
      <c r="M39" s="876"/>
      <c r="N39" s="397"/>
      <c r="O39" s="397"/>
      <c r="P39" s="397"/>
      <c r="Q39" s="397"/>
      <c r="R39" s="397"/>
      <c r="S39" s="397"/>
    </row>
    <row r="40" spans="1:19">
      <c r="A40" s="779">
        <v>500</v>
      </c>
      <c r="B40" s="779">
        <v>420</v>
      </c>
      <c r="C40" s="779">
        <v>52019</v>
      </c>
      <c r="D40" s="779" t="s">
        <v>72</v>
      </c>
      <c r="E40" s="865">
        <v>17636</v>
      </c>
      <c r="F40" s="865">
        <v>2365</v>
      </c>
      <c r="G40" s="865">
        <v>35000</v>
      </c>
      <c r="H40" s="1039">
        <v>35000</v>
      </c>
      <c r="I40" s="442"/>
      <c r="J40" s="707">
        <f t="shared" si="8"/>
        <v>0</v>
      </c>
      <c r="K40" s="865">
        <f t="shared" si="9"/>
        <v>0</v>
      </c>
      <c r="L40" s="867"/>
      <c r="M40" s="856"/>
      <c r="N40" s="850"/>
      <c r="O40" s="850"/>
      <c r="P40" s="397"/>
      <c r="Q40" s="397"/>
      <c r="R40" s="397"/>
      <c r="S40" s="397"/>
    </row>
    <row r="41" spans="1:19">
      <c r="A41" s="779">
        <v>500</v>
      </c>
      <c r="B41" s="779">
        <v>420</v>
      </c>
      <c r="C41" s="779">
        <v>52020</v>
      </c>
      <c r="D41" s="779" t="s">
        <v>380</v>
      </c>
      <c r="E41" s="865">
        <v>13483</v>
      </c>
      <c r="F41" s="865">
        <v>5256</v>
      </c>
      <c r="G41" s="865">
        <v>20000</v>
      </c>
      <c r="H41" s="1039">
        <v>20000</v>
      </c>
      <c r="I41" s="442"/>
      <c r="J41" s="707">
        <f t="shared" si="8"/>
        <v>0</v>
      </c>
      <c r="K41" s="865">
        <f t="shared" si="9"/>
        <v>0</v>
      </c>
      <c r="L41" s="867"/>
      <c r="M41" s="856"/>
      <c r="N41" s="850"/>
      <c r="O41" s="850"/>
      <c r="P41" s="397"/>
      <c r="Q41" s="397"/>
      <c r="R41" s="397"/>
      <c r="S41" s="397"/>
    </row>
    <row r="42" spans="1:19" s="5" customFormat="1">
      <c r="A42" s="779">
        <v>500</v>
      </c>
      <c r="B42" s="779">
        <v>420</v>
      </c>
      <c r="C42" s="779">
        <v>52022</v>
      </c>
      <c r="D42" s="779" t="s">
        <v>256</v>
      </c>
      <c r="E42" s="865">
        <v>3598</v>
      </c>
      <c r="F42" s="865">
        <v>2434</v>
      </c>
      <c r="G42" s="865">
        <v>2000</v>
      </c>
      <c r="H42" s="1039">
        <v>2000</v>
      </c>
      <c r="I42" s="442"/>
      <c r="J42" s="707">
        <f t="shared" si="8"/>
        <v>0</v>
      </c>
      <c r="K42" s="865">
        <f t="shared" si="9"/>
        <v>0</v>
      </c>
      <c r="L42" s="877"/>
      <c r="M42" s="876"/>
      <c r="N42" s="866"/>
      <c r="O42" s="866"/>
      <c r="P42" s="868"/>
      <c r="Q42" s="868"/>
      <c r="R42" s="868"/>
      <c r="S42" s="868"/>
    </row>
    <row r="43" spans="1:19">
      <c r="A43" s="779">
        <v>500</v>
      </c>
      <c r="B43" s="779">
        <v>420</v>
      </c>
      <c r="C43" s="779">
        <v>52023</v>
      </c>
      <c r="D43" s="779" t="s">
        <v>232</v>
      </c>
      <c r="E43" s="857">
        <v>0</v>
      </c>
      <c r="F43" s="857">
        <v>0</v>
      </c>
      <c r="G43" s="857">
        <v>3000</v>
      </c>
      <c r="H43" s="943">
        <v>3000</v>
      </c>
      <c r="I43" s="442"/>
      <c r="J43" s="707">
        <f t="shared" si="8"/>
        <v>0</v>
      </c>
      <c r="K43" s="865">
        <f t="shared" si="9"/>
        <v>0</v>
      </c>
      <c r="L43" s="867"/>
      <c r="M43" s="856"/>
      <c r="N43" s="850"/>
      <c r="O43" s="850"/>
      <c r="P43" s="397"/>
      <c r="Q43" s="397"/>
      <c r="R43" s="397"/>
      <c r="S43" s="397"/>
    </row>
    <row r="44" spans="1:19" hidden="1">
      <c r="A44" s="779">
        <v>500</v>
      </c>
      <c r="B44" s="779">
        <v>420</v>
      </c>
      <c r="D44" s="779" t="s">
        <v>141</v>
      </c>
      <c r="E44" s="857">
        <v>0</v>
      </c>
      <c r="F44" s="857">
        <v>0</v>
      </c>
      <c r="G44" s="857">
        <v>0</v>
      </c>
      <c r="H44" s="943">
        <v>0</v>
      </c>
      <c r="I44" s="442"/>
      <c r="J44" s="707">
        <f t="shared" si="8"/>
        <v>0</v>
      </c>
      <c r="K44" s="865">
        <f t="shared" si="9"/>
        <v>0</v>
      </c>
      <c r="L44" s="867"/>
      <c r="M44" s="856"/>
      <c r="N44" s="850"/>
      <c r="O44" s="850"/>
      <c r="P44" s="397"/>
      <c r="Q44" s="397"/>
      <c r="R44" s="397"/>
      <c r="S44" s="397"/>
    </row>
    <row r="45" spans="1:19">
      <c r="A45" s="779">
        <v>500</v>
      </c>
      <c r="B45" s="779">
        <v>420</v>
      </c>
      <c r="C45" s="779">
        <v>52025</v>
      </c>
      <c r="D45" s="779" t="s">
        <v>234</v>
      </c>
      <c r="E45" s="857">
        <v>8982</v>
      </c>
      <c r="F45" s="857">
        <v>3753</v>
      </c>
      <c r="G45" s="857">
        <v>4000</v>
      </c>
      <c r="H45" s="943">
        <v>4000</v>
      </c>
      <c r="I45" s="442"/>
      <c r="J45" s="707">
        <f t="shared" si="8"/>
        <v>0</v>
      </c>
      <c r="K45" s="865">
        <f t="shared" si="9"/>
        <v>0</v>
      </c>
      <c r="L45" s="867"/>
      <c r="M45" s="856"/>
      <c r="N45" s="850"/>
      <c r="O45" s="850"/>
      <c r="P45" s="397"/>
      <c r="Q45" s="397"/>
      <c r="R45" s="397"/>
      <c r="S45" s="397"/>
    </row>
    <row r="46" spans="1:19">
      <c r="A46" s="779">
        <v>500</v>
      </c>
      <c r="B46" s="779">
        <v>420</v>
      </c>
      <c r="C46" s="779">
        <v>52030</v>
      </c>
      <c r="D46" s="779" t="s">
        <v>23</v>
      </c>
      <c r="E46" s="857">
        <v>246</v>
      </c>
      <c r="F46" s="857">
        <v>4954</v>
      </c>
      <c r="G46" s="857">
        <v>2000</v>
      </c>
      <c r="H46" s="943">
        <v>2000</v>
      </c>
      <c r="I46" s="442"/>
      <c r="J46" s="707">
        <f t="shared" si="8"/>
        <v>0</v>
      </c>
      <c r="K46" s="865">
        <f t="shared" si="9"/>
        <v>0</v>
      </c>
      <c r="L46" s="867"/>
      <c r="M46" s="856"/>
      <c r="N46" s="850"/>
      <c r="O46" s="850"/>
      <c r="P46" s="397"/>
      <c r="Q46" s="397"/>
      <c r="R46" s="397"/>
      <c r="S46" s="397"/>
    </row>
    <row r="47" spans="1:19">
      <c r="A47" s="779">
        <v>500</v>
      </c>
      <c r="B47" s="779">
        <v>420</v>
      </c>
      <c r="C47" s="779">
        <v>52101</v>
      </c>
      <c r="D47" s="779" t="s">
        <v>258</v>
      </c>
      <c r="E47" s="707">
        <v>2271</v>
      </c>
      <c r="F47" s="707">
        <v>1658</v>
      </c>
      <c r="G47" s="865">
        <v>200</v>
      </c>
      <c r="H47" s="1039">
        <v>200</v>
      </c>
      <c r="I47" s="442"/>
      <c r="J47" s="707">
        <f t="shared" si="8"/>
        <v>0</v>
      </c>
      <c r="K47" s="865">
        <f t="shared" si="9"/>
        <v>0</v>
      </c>
      <c r="L47" s="867"/>
      <c r="M47" s="856"/>
      <c r="N47" s="850"/>
      <c r="O47" s="850"/>
      <c r="P47" s="397"/>
      <c r="Q47" s="397"/>
      <c r="R47" s="397"/>
      <c r="S47" s="397"/>
    </row>
    <row r="48" spans="1:19">
      <c r="A48" s="779">
        <v>500</v>
      </c>
      <c r="B48" s="779">
        <v>420</v>
      </c>
      <c r="C48" s="779">
        <v>52102</v>
      </c>
      <c r="D48" s="779" t="s">
        <v>36</v>
      </c>
      <c r="E48" s="865">
        <v>613</v>
      </c>
      <c r="F48" s="865">
        <v>337</v>
      </c>
      <c r="G48" s="865">
        <v>3000</v>
      </c>
      <c r="H48" s="1039">
        <v>3000</v>
      </c>
      <c r="I48" s="442"/>
      <c r="J48" s="707">
        <f t="shared" si="8"/>
        <v>0</v>
      </c>
      <c r="K48" s="865">
        <f t="shared" si="9"/>
        <v>0</v>
      </c>
      <c r="L48" s="861"/>
      <c r="M48" s="856"/>
      <c r="N48" s="397"/>
      <c r="O48" s="397"/>
      <c r="P48" s="397"/>
      <c r="Q48" s="397"/>
      <c r="R48" s="397"/>
      <c r="S48" s="397"/>
    </row>
    <row r="49" spans="1:19">
      <c r="A49" s="779">
        <v>500</v>
      </c>
      <c r="B49" s="779">
        <v>420</v>
      </c>
      <c r="C49" s="779">
        <v>52103</v>
      </c>
      <c r="D49" s="779" t="s">
        <v>62</v>
      </c>
      <c r="E49" s="865">
        <v>8200</v>
      </c>
      <c r="F49" s="865">
        <v>9352</v>
      </c>
      <c r="G49" s="865">
        <v>8500</v>
      </c>
      <c r="H49" s="1039">
        <v>8500</v>
      </c>
      <c r="I49" s="442"/>
      <c r="J49" s="707">
        <f t="shared" si="8"/>
        <v>0</v>
      </c>
      <c r="K49" s="865">
        <f t="shared" si="9"/>
        <v>0</v>
      </c>
      <c r="L49" s="397"/>
      <c r="M49" s="856"/>
      <c r="N49" s="397"/>
      <c r="O49" s="397"/>
      <c r="P49" s="397"/>
      <c r="Q49" s="397"/>
      <c r="R49" s="397"/>
      <c r="S49" s="397"/>
    </row>
    <row r="50" spans="1:19">
      <c r="A50" s="779">
        <v>500</v>
      </c>
      <c r="B50" s="779">
        <v>420</v>
      </c>
      <c r="C50" s="779">
        <v>52104</v>
      </c>
      <c r="D50" s="779" t="s">
        <v>130</v>
      </c>
      <c r="E50" s="857">
        <v>2282</v>
      </c>
      <c r="F50" s="857">
        <v>1810</v>
      </c>
      <c r="G50" s="857">
        <v>5000</v>
      </c>
      <c r="H50" s="943">
        <v>5000</v>
      </c>
      <c r="I50" s="442"/>
      <c r="J50" s="707">
        <f t="shared" si="8"/>
        <v>0</v>
      </c>
      <c r="K50" s="865">
        <f t="shared" si="9"/>
        <v>0</v>
      </c>
      <c r="L50" s="397"/>
      <c r="M50" s="856"/>
      <c r="N50" s="397"/>
      <c r="O50" s="397"/>
      <c r="P50" s="397"/>
      <c r="Q50" s="397"/>
      <c r="R50" s="397"/>
      <c r="S50" s="397"/>
    </row>
    <row r="51" spans="1:19">
      <c r="A51" s="779">
        <v>500</v>
      </c>
      <c r="B51" s="779">
        <v>420</v>
      </c>
      <c r="C51" s="779">
        <v>52105</v>
      </c>
      <c r="D51" s="779" t="s">
        <v>45</v>
      </c>
      <c r="E51" s="857">
        <v>1130</v>
      </c>
      <c r="F51" s="857">
        <v>1110</v>
      </c>
      <c r="G51" s="857">
        <v>500</v>
      </c>
      <c r="H51" s="943">
        <v>500</v>
      </c>
      <c r="I51" s="442"/>
      <c r="J51" s="707">
        <f t="shared" si="8"/>
        <v>0</v>
      </c>
      <c r="K51" s="865">
        <f t="shared" si="9"/>
        <v>0</v>
      </c>
      <c r="L51" s="850"/>
      <c r="M51" s="856"/>
      <c r="N51" s="850"/>
      <c r="O51" s="850"/>
      <c r="P51" s="397"/>
      <c r="Q51" s="397"/>
      <c r="R51" s="397"/>
      <c r="S51" s="397"/>
    </row>
    <row r="52" spans="1:19">
      <c r="A52" s="779">
        <v>500</v>
      </c>
      <c r="B52" s="779">
        <v>420</v>
      </c>
      <c r="C52" s="779">
        <v>52107</v>
      </c>
      <c r="D52" s="779" t="s">
        <v>119</v>
      </c>
      <c r="E52" s="857">
        <v>900</v>
      </c>
      <c r="F52" s="857">
        <v>1280</v>
      </c>
      <c r="G52" s="857">
        <v>1000</v>
      </c>
      <c r="H52" s="943">
        <v>1000</v>
      </c>
      <c r="I52" s="442">
        <v>1</v>
      </c>
      <c r="J52" s="707">
        <f t="shared" si="8"/>
        <v>0</v>
      </c>
      <c r="K52" s="865">
        <f t="shared" si="9"/>
        <v>0</v>
      </c>
      <c r="L52" s="850"/>
      <c r="M52" s="878"/>
      <c r="N52" s="850"/>
      <c r="O52" s="850"/>
      <c r="P52" s="397"/>
      <c r="Q52" s="397"/>
      <c r="R52" s="397"/>
      <c r="S52" s="397"/>
    </row>
    <row r="53" spans="1:19">
      <c r="A53" s="779">
        <v>500</v>
      </c>
      <c r="B53" s="779">
        <v>420</v>
      </c>
      <c r="C53" s="779">
        <v>52108</v>
      </c>
      <c r="D53" s="779" t="s">
        <v>37</v>
      </c>
      <c r="E53" s="857">
        <v>0</v>
      </c>
      <c r="F53" s="857">
        <v>0</v>
      </c>
      <c r="G53" s="857">
        <v>600</v>
      </c>
      <c r="H53" s="943">
        <v>600</v>
      </c>
      <c r="I53" s="442"/>
      <c r="J53" s="707">
        <f t="shared" si="8"/>
        <v>0</v>
      </c>
      <c r="K53" s="865">
        <f t="shared" si="9"/>
        <v>0</v>
      </c>
      <c r="L53" s="850"/>
      <c r="M53" s="856"/>
      <c r="N53" s="850"/>
      <c r="O53" s="850"/>
      <c r="P53" s="397"/>
      <c r="Q53" s="397"/>
      <c r="R53" s="397"/>
      <c r="S53" s="397"/>
    </row>
    <row r="54" spans="1:19">
      <c r="A54" s="779">
        <v>500</v>
      </c>
      <c r="B54" s="779">
        <v>420</v>
      </c>
      <c r="C54" s="779">
        <v>52109</v>
      </c>
      <c r="D54" s="779" t="s">
        <v>151</v>
      </c>
      <c r="E54" s="857">
        <v>31492</v>
      </c>
      <c r="F54" s="857">
        <v>30899</v>
      </c>
      <c r="G54" s="857">
        <v>33000</v>
      </c>
      <c r="H54" s="943">
        <v>33000</v>
      </c>
      <c r="I54" s="442"/>
      <c r="J54" s="707">
        <f t="shared" si="8"/>
        <v>0</v>
      </c>
      <c r="K54" s="865">
        <f t="shared" si="9"/>
        <v>0</v>
      </c>
      <c r="L54" s="850"/>
      <c r="M54" s="856"/>
      <c r="N54" s="850"/>
      <c r="O54" s="850"/>
      <c r="P54" s="397"/>
      <c r="Q54" s="397"/>
      <c r="R54" s="397"/>
      <c r="S54" s="397"/>
    </row>
    <row r="55" spans="1:19">
      <c r="A55" s="779">
        <v>500</v>
      </c>
      <c r="B55" s="779">
        <v>420</v>
      </c>
      <c r="C55" s="779">
        <v>52110</v>
      </c>
      <c r="D55" s="779" t="s">
        <v>41</v>
      </c>
      <c r="E55" s="857">
        <v>3246</v>
      </c>
      <c r="F55" s="857">
        <v>2841</v>
      </c>
      <c r="G55" s="857">
        <v>3400</v>
      </c>
      <c r="H55" s="943">
        <v>3400</v>
      </c>
      <c r="I55" s="442"/>
      <c r="J55" s="707">
        <f t="shared" si="8"/>
        <v>0</v>
      </c>
      <c r="K55" s="865">
        <f t="shared" si="9"/>
        <v>0</v>
      </c>
      <c r="L55" s="850"/>
      <c r="M55" s="856"/>
      <c r="N55" s="850"/>
      <c r="O55" s="850"/>
      <c r="P55" s="397"/>
      <c r="Q55" s="397"/>
      <c r="R55" s="397"/>
      <c r="S55" s="397"/>
    </row>
    <row r="56" spans="1:19">
      <c r="A56" s="779">
        <v>500</v>
      </c>
      <c r="B56" s="779">
        <v>420</v>
      </c>
      <c r="C56" s="779">
        <v>52114</v>
      </c>
      <c r="D56" s="779" t="s">
        <v>470</v>
      </c>
      <c r="E56" s="858">
        <v>3499</v>
      </c>
      <c r="F56" s="858">
        <v>8868</v>
      </c>
      <c r="G56" s="858">
        <v>7236</v>
      </c>
      <c r="H56" s="1037">
        <f>'CIP_Rec Costs'!E47</f>
        <v>7236</v>
      </c>
      <c r="I56" s="442"/>
      <c r="J56" s="708">
        <f t="shared" si="8"/>
        <v>0</v>
      </c>
      <c r="K56" s="879">
        <f t="shared" si="9"/>
        <v>0</v>
      </c>
      <c r="L56" s="850"/>
      <c r="M56" s="856"/>
      <c r="N56" s="850"/>
      <c r="O56" s="850"/>
      <c r="P56" s="397"/>
      <c r="Q56" s="397"/>
      <c r="R56" s="397"/>
      <c r="S56" s="397"/>
    </row>
    <row r="57" spans="1:19">
      <c r="D57" s="5" t="s">
        <v>68</v>
      </c>
      <c r="E57" s="366">
        <f>SUM(E33:E56)</f>
        <v>183541</v>
      </c>
      <c r="F57" s="366">
        <f>SUM(F33:F56)</f>
        <v>157649</v>
      </c>
      <c r="G57" s="366">
        <f>SUM(G33:G56)</f>
        <v>220636</v>
      </c>
      <c r="H57" s="366">
        <f>SUM(H33:H56)</f>
        <v>220636</v>
      </c>
      <c r="I57" s="442"/>
      <c r="J57" s="366">
        <f>SUM(J33:J56)</f>
        <v>0</v>
      </c>
      <c r="K57" s="366">
        <f>SUM(K33:K56)</f>
        <v>0</v>
      </c>
      <c r="L57" s="850"/>
      <c r="M57" s="863"/>
      <c r="N57" s="850"/>
      <c r="O57" s="850"/>
      <c r="P57" s="397"/>
      <c r="Q57" s="397"/>
      <c r="R57" s="397"/>
      <c r="S57" s="397"/>
    </row>
    <row r="58" spans="1:19" ht="243.75" customHeight="1">
      <c r="F58" s="357"/>
      <c r="G58" s="707"/>
      <c r="H58" s="857"/>
      <c r="I58" s="442"/>
      <c r="J58" s="707"/>
      <c r="K58" s="857"/>
      <c r="L58" s="850"/>
      <c r="M58" s="876"/>
      <c r="N58" s="850"/>
      <c r="O58" s="850"/>
      <c r="P58" s="880"/>
      <c r="Q58" s="397"/>
      <c r="R58" s="397"/>
      <c r="S58" s="397"/>
    </row>
    <row r="59" spans="1:19">
      <c r="D59" s="848"/>
      <c r="E59" s="837" t="s">
        <v>54</v>
      </c>
      <c r="F59" s="408" t="s">
        <v>54</v>
      </c>
      <c r="G59" s="56" t="s">
        <v>1</v>
      </c>
      <c r="H59" s="56" t="s">
        <v>2</v>
      </c>
      <c r="I59" s="57"/>
      <c r="J59" s="837" t="s">
        <v>376</v>
      </c>
      <c r="K59" s="58" t="s">
        <v>377</v>
      </c>
      <c r="L59" s="850"/>
      <c r="M59" s="851"/>
      <c r="N59" s="850"/>
      <c r="O59" s="850"/>
      <c r="P59" s="397"/>
      <c r="Q59" s="397"/>
      <c r="R59" s="397"/>
      <c r="S59" s="397"/>
    </row>
    <row r="60" spans="1:19">
      <c r="D60" s="848"/>
      <c r="E60" s="837"/>
      <c r="F60" s="408"/>
      <c r="G60" s="56" t="s">
        <v>3</v>
      </c>
      <c r="H60" s="56" t="s">
        <v>56</v>
      </c>
      <c r="I60" s="57"/>
      <c r="J60" s="837" t="s">
        <v>56</v>
      </c>
      <c r="K60" s="58" t="s">
        <v>56</v>
      </c>
      <c r="L60" s="850"/>
      <c r="M60" s="851"/>
      <c r="N60" s="850"/>
      <c r="O60" s="850"/>
      <c r="P60" s="397"/>
      <c r="Q60" s="397"/>
      <c r="R60" s="397"/>
      <c r="S60" s="397"/>
    </row>
    <row r="61" spans="1:19">
      <c r="D61" s="5" t="s">
        <v>228</v>
      </c>
      <c r="E61" s="782" t="str">
        <f>E8</f>
        <v>2019-20</v>
      </c>
      <c r="F61" s="782" t="str">
        <f>F8</f>
        <v>2020-21</v>
      </c>
      <c r="G61" s="782" t="str">
        <f>G8</f>
        <v>2021-22</v>
      </c>
      <c r="H61" s="782" t="str">
        <f>H8</f>
        <v>2021-22</v>
      </c>
      <c r="I61" s="48"/>
      <c r="J61" s="782" t="str">
        <f>H61</f>
        <v>2021-22</v>
      </c>
      <c r="K61" s="782" t="str">
        <f>J61</f>
        <v>2021-22</v>
      </c>
      <c r="L61" s="850"/>
      <c r="M61" s="95"/>
      <c r="N61" s="850"/>
      <c r="O61" s="850"/>
      <c r="P61" s="397"/>
      <c r="Q61" s="397"/>
      <c r="R61" s="397"/>
      <c r="S61" s="397"/>
    </row>
    <row r="62" spans="1:19">
      <c r="E62" s="362"/>
      <c r="F62" s="360"/>
      <c r="G62" s="361"/>
      <c r="H62" s="356"/>
      <c r="I62" s="334"/>
      <c r="J62" s="362"/>
      <c r="K62" s="356"/>
      <c r="L62" s="850"/>
      <c r="M62" s="869"/>
      <c r="N62" s="850"/>
      <c r="O62" s="850"/>
      <c r="P62" s="397"/>
      <c r="Q62" s="397"/>
      <c r="R62" s="397"/>
      <c r="S62" s="397"/>
    </row>
    <row r="63" spans="1:19" ht="12.75">
      <c r="D63" s="5" t="s">
        <v>69</v>
      </c>
      <c r="E63" s="361"/>
      <c r="F63" s="1001"/>
      <c r="G63" s="361"/>
      <c r="H63" s="356"/>
      <c r="I63" s="361"/>
      <c r="J63" s="361"/>
      <c r="K63" s="356"/>
      <c r="L63" s="850"/>
      <c r="M63" s="868"/>
      <c r="N63" s="850"/>
      <c r="O63" s="850"/>
      <c r="P63" s="397"/>
      <c r="Q63" s="397"/>
      <c r="R63" s="397"/>
      <c r="S63" s="397"/>
    </row>
    <row r="64" spans="1:19" ht="12.75" hidden="1">
      <c r="D64" s="779" t="s">
        <v>173</v>
      </c>
      <c r="E64" s="354">
        <v>0</v>
      </c>
      <c r="F64" s="857">
        <v>0</v>
      </c>
      <c r="G64" s="853">
        <v>0</v>
      </c>
      <c r="H64" s="853">
        <v>0</v>
      </c>
      <c r="I64" s="361"/>
      <c r="J64" s="361">
        <f t="shared" ref="J64:J69" si="10">IF($M$2="Yes",H64,0)</f>
        <v>0</v>
      </c>
      <c r="K64" s="853">
        <f t="shared" ref="K64:K69" si="11">IF($N$2="Yes",J64,0)</f>
        <v>0</v>
      </c>
      <c r="L64" s="850"/>
      <c r="M64" s="856"/>
      <c r="N64" s="850"/>
      <c r="O64" s="850"/>
      <c r="P64" s="397"/>
      <c r="Q64" s="397"/>
      <c r="R64" s="397"/>
      <c r="S64" s="397"/>
    </row>
    <row r="65" spans="1:19" ht="12.75">
      <c r="A65" s="779">
        <v>500</v>
      </c>
      <c r="B65" s="779">
        <v>420</v>
      </c>
      <c r="C65" s="777">
        <v>53001</v>
      </c>
      <c r="D65" s="779" t="s">
        <v>156</v>
      </c>
      <c r="E65" s="857">
        <v>0</v>
      </c>
      <c r="F65" s="857">
        <v>9555</v>
      </c>
      <c r="G65" s="857">
        <v>0</v>
      </c>
      <c r="H65" s="857">
        <f>50000*0.75</f>
        <v>37500</v>
      </c>
      <c r="I65" s="365"/>
      <c r="J65" s="365">
        <f t="shared" si="10"/>
        <v>0</v>
      </c>
      <c r="K65" s="857">
        <f t="shared" si="11"/>
        <v>0</v>
      </c>
      <c r="L65" s="850" t="s">
        <v>576</v>
      </c>
      <c r="M65" s="856"/>
      <c r="N65" s="850"/>
      <c r="O65" s="850"/>
      <c r="P65" s="397"/>
      <c r="Q65" s="397"/>
      <c r="R65" s="397"/>
      <c r="S65" s="397"/>
    </row>
    <row r="66" spans="1:19" hidden="1">
      <c r="A66" s="779">
        <v>500</v>
      </c>
      <c r="B66" s="779">
        <v>420</v>
      </c>
      <c r="D66" s="779" t="s">
        <v>131</v>
      </c>
      <c r="E66" s="857">
        <v>0</v>
      </c>
      <c r="F66" s="857">
        <v>0</v>
      </c>
      <c r="G66" s="857">
        <v>0</v>
      </c>
      <c r="H66" s="943">
        <v>0</v>
      </c>
      <c r="I66" s="442"/>
      <c r="J66" s="707">
        <f t="shared" si="10"/>
        <v>0</v>
      </c>
      <c r="K66" s="857">
        <f t="shared" si="11"/>
        <v>0</v>
      </c>
      <c r="L66" s="850"/>
      <c r="M66" s="856"/>
      <c r="N66" s="850"/>
      <c r="O66" s="850"/>
      <c r="P66" s="397"/>
      <c r="Q66" s="397"/>
      <c r="R66" s="397"/>
      <c r="S66" s="397"/>
    </row>
    <row r="67" spans="1:19">
      <c r="A67" s="779">
        <v>500</v>
      </c>
      <c r="B67" s="779">
        <v>420</v>
      </c>
      <c r="C67" s="779">
        <v>53500</v>
      </c>
      <c r="D67" s="779" t="s">
        <v>174</v>
      </c>
      <c r="E67" s="857">
        <v>78074</v>
      </c>
      <c r="F67" s="857">
        <v>68186</v>
      </c>
      <c r="G67" s="857">
        <v>100000</v>
      </c>
      <c r="H67" s="943">
        <v>100000</v>
      </c>
      <c r="I67" s="442"/>
      <c r="J67" s="707">
        <f t="shared" si="10"/>
        <v>0</v>
      </c>
      <c r="K67" s="857">
        <f t="shared" si="11"/>
        <v>0</v>
      </c>
      <c r="L67" s="850"/>
      <c r="M67" s="856"/>
      <c r="N67" s="850"/>
      <c r="O67" s="850"/>
      <c r="P67" s="397"/>
      <c r="Q67" s="397"/>
      <c r="R67" s="397"/>
      <c r="S67" s="397"/>
    </row>
    <row r="68" spans="1:19">
      <c r="A68" s="779">
        <v>500</v>
      </c>
      <c r="B68" s="779">
        <v>420</v>
      </c>
      <c r="C68" s="779">
        <v>53501</v>
      </c>
      <c r="D68" s="779" t="s">
        <v>501</v>
      </c>
      <c r="E68" s="887">
        <v>0</v>
      </c>
      <c r="F68" s="887">
        <v>183976</v>
      </c>
      <c r="G68" s="918">
        <v>0</v>
      </c>
      <c r="H68" s="1035">
        <v>0</v>
      </c>
      <c r="I68" s="405"/>
      <c r="J68" s="854">
        <f t="shared" si="10"/>
        <v>0</v>
      </c>
      <c r="K68" s="887">
        <f t="shared" si="11"/>
        <v>0</v>
      </c>
      <c r="L68" s="850"/>
      <c r="M68" s="882"/>
      <c r="N68" s="850"/>
      <c r="O68" s="850"/>
      <c r="P68" s="397"/>
      <c r="Q68" s="397"/>
      <c r="R68" s="397"/>
      <c r="S68" s="397"/>
    </row>
    <row r="69" spans="1:19">
      <c r="A69" s="779">
        <v>500</v>
      </c>
      <c r="B69" s="779">
        <v>420</v>
      </c>
      <c r="C69" s="862">
        <v>53502</v>
      </c>
      <c r="D69" s="779" t="s">
        <v>523</v>
      </c>
      <c r="E69" s="887">
        <v>0</v>
      </c>
      <c r="F69" s="887">
        <v>0</v>
      </c>
      <c r="G69" s="918">
        <v>646000</v>
      </c>
      <c r="H69" s="1035">
        <v>646000</v>
      </c>
      <c r="I69" s="405"/>
      <c r="J69" s="854">
        <f t="shared" si="10"/>
        <v>0</v>
      </c>
      <c r="K69" s="887">
        <f t="shared" si="11"/>
        <v>0</v>
      </c>
      <c r="L69" s="850"/>
      <c r="M69" s="882"/>
      <c r="N69" s="850"/>
      <c r="O69" s="850"/>
      <c r="P69" s="397"/>
      <c r="Q69" s="397"/>
      <c r="R69" s="397"/>
      <c r="S69" s="397"/>
    </row>
    <row r="70" spans="1:19">
      <c r="A70" s="779">
        <v>500</v>
      </c>
      <c r="B70" s="779">
        <v>420</v>
      </c>
      <c r="C70" s="862">
        <v>53503</v>
      </c>
      <c r="D70" s="779" t="s">
        <v>577</v>
      </c>
      <c r="E70" s="881">
        <v>0</v>
      </c>
      <c r="F70" s="881">
        <v>0</v>
      </c>
      <c r="G70" s="858">
        <v>346000</v>
      </c>
      <c r="H70" s="1037">
        <v>346000</v>
      </c>
      <c r="I70" s="442"/>
      <c r="J70" s="860">
        <f t="shared" ref="J70" si="12">IF($M$2="Yes",H70,0)</f>
        <v>0</v>
      </c>
      <c r="K70" s="881">
        <f t="shared" ref="K70" si="13">IF($N$2="Yes",J70,0)</f>
        <v>0</v>
      </c>
      <c r="L70" s="850"/>
      <c r="M70" s="882"/>
      <c r="N70" s="850"/>
      <c r="O70" s="850"/>
      <c r="P70" s="397"/>
      <c r="Q70" s="397"/>
      <c r="R70" s="397"/>
      <c r="S70" s="397"/>
    </row>
    <row r="71" spans="1:19">
      <c r="D71" s="5" t="s">
        <v>55</v>
      </c>
      <c r="E71" s="362">
        <f>SUM(E64:E70)</f>
        <v>78074</v>
      </c>
      <c r="F71" s="362">
        <f>SUM(F64:F70)</f>
        <v>261717</v>
      </c>
      <c r="G71" s="362">
        <f>SUM(G64:G70)</f>
        <v>1092000</v>
      </c>
      <c r="H71" s="362">
        <f>SUM(H64:H70)</f>
        <v>1129500</v>
      </c>
      <c r="J71" s="362">
        <f>SUM(J64:J70)</f>
        <v>0</v>
      </c>
      <c r="K71" s="362">
        <f>SUM(K64:K70)</f>
        <v>0</v>
      </c>
      <c r="L71" s="850"/>
      <c r="M71" s="863"/>
      <c r="N71" s="850"/>
      <c r="O71" s="850"/>
      <c r="P71" s="397"/>
      <c r="Q71" s="397"/>
      <c r="R71" s="397"/>
      <c r="S71" s="397"/>
    </row>
    <row r="72" spans="1:19">
      <c r="E72" s="707"/>
      <c r="F72" s="855"/>
      <c r="H72" s="852"/>
      <c r="I72" s="883" t="s">
        <v>5</v>
      </c>
      <c r="J72" s="707"/>
      <c r="L72" s="882"/>
      <c r="M72" s="884"/>
      <c r="N72" s="885"/>
      <c r="O72" s="397"/>
    </row>
    <row r="73" spans="1:19" ht="12.75">
      <c r="D73" s="5" t="s">
        <v>123</v>
      </c>
      <c r="E73" s="367"/>
      <c r="F73" s="365"/>
      <c r="G73" s="356"/>
      <c r="H73" s="356"/>
      <c r="I73" s="361"/>
      <c r="J73" s="361"/>
      <c r="K73" s="356"/>
      <c r="L73" s="850"/>
      <c r="M73" s="869"/>
      <c r="N73" s="850"/>
      <c r="O73" s="850"/>
      <c r="P73" s="397"/>
      <c r="Q73" s="397"/>
      <c r="R73" s="397"/>
      <c r="S73" s="397"/>
    </row>
    <row r="74" spans="1:19" s="5" customFormat="1" hidden="1">
      <c r="A74" s="779">
        <v>500</v>
      </c>
      <c r="B74" s="779">
        <v>420</v>
      </c>
      <c r="C74" s="779">
        <v>54001</v>
      </c>
      <c r="D74" s="873" t="s">
        <v>132</v>
      </c>
      <c r="E74" s="857">
        <v>0</v>
      </c>
      <c r="F74" s="857">
        <v>0</v>
      </c>
      <c r="G74" s="857">
        <v>0</v>
      </c>
      <c r="H74" s="857">
        <v>0</v>
      </c>
      <c r="I74" s="711"/>
      <c r="J74" s="707">
        <f t="shared" ref="J74:J77" si="14">IF($M$2="Yes",H74,0)</f>
        <v>0</v>
      </c>
      <c r="K74" s="857">
        <f t="shared" ref="K74:K77" si="15">IF($N$2="Yes",J74,0)</f>
        <v>0</v>
      </c>
      <c r="L74" s="866" t="s">
        <v>449</v>
      </c>
      <c r="M74" s="856"/>
      <c r="N74" s="866"/>
      <c r="O74" s="866"/>
      <c r="P74" s="868"/>
      <c r="Q74" s="868"/>
      <c r="R74" s="868"/>
      <c r="S74" s="868"/>
    </row>
    <row r="75" spans="1:19" s="5" customFormat="1" hidden="1">
      <c r="A75" s="779">
        <v>500</v>
      </c>
      <c r="B75" s="779">
        <v>420</v>
      </c>
      <c r="D75" s="873" t="s">
        <v>133</v>
      </c>
      <c r="E75" s="887">
        <v>0</v>
      </c>
      <c r="F75" s="887">
        <v>0</v>
      </c>
      <c r="G75" s="887">
        <v>0</v>
      </c>
      <c r="H75" s="1040">
        <v>0</v>
      </c>
      <c r="I75" s="442"/>
      <c r="J75" s="888">
        <f t="shared" si="14"/>
        <v>0</v>
      </c>
      <c r="K75" s="887">
        <f t="shared" si="15"/>
        <v>0</v>
      </c>
      <c r="L75" s="866" t="s">
        <v>449</v>
      </c>
      <c r="M75" s="882"/>
      <c r="N75" s="866"/>
      <c r="O75" s="866"/>
      <c r="P75" s="868"/>
      <c r="Q75" s="868"/>
      <c r="R75" s="868"/>
      <c r="S75" s="868"/>
    </row>
    <row r="76" spans="1:19" s="5" customFormat="1">
      <c r="A76" s="779">
        <v>500</v>
      </c>
      <c r="B76" s="779">
        <v>420</v>
      </c>
      <c r="C76" s="779">
        <v>54005</v>
      </c>
      <c r="D76" s="873" t="s">
        <v>396</v>
      </c>
      <c r="E76" s="879">
        <v>0</v>
      </c>
      <c r="F76" s="879">
        <v>139013</v>
      </c>
      <c r="G76" s="879">
        <v>140000</v>
      </c>
      <c r="H76" s="879">
        <v>140000</v>
      </c>
      <c r="I76" s="442"/>
      <c r="J76" s="860">
        <f t="shared" si="14"/>
        <v>0</v>
      </c>
      <c r="K76" s="879">
        <f t="shared" ref="K76" si="16">IF($N$2="Yes",J76,0)</f>
        <v>0</v>
      </c>
      <c r="L76" s="866"/>
      <c r="M76" s="882"/>
      <c r="N76" s="866"/>
      <c r="O76" s="866"/>
      <c r="P76" s="868"/>
      <c r="Q76" s="868"/>
      <c r="R76" s="868"/>
      <c r="S76" s="868"/>
    </row>
    <row r="77" spans="1:19" ht="12.75" hidden="1">
      <c r="D77" s="873" t="s">
        <v>167</v>
      </c>
      <c r="E77" s="889"/>
      <c r="F77" s="879"/>
      <c r="G77" s="890"/>
      <c r="H77" s="890"/>
      <c r="I77" s="888"/>
      <c r="J77" s="708">
        <f t="shared" si="14"/>
        <v>0</v>
      </c>
      <c r="K77" s="879">
        <f t="shared" si="15"/>
        <v>0</v>
      </c>
      <c r="L77" s="850"/>
      <c r="M77" s="882"/>
      <c r="N77" s="850"/>
      <c r="O77" s="850"/>
      <c r="P77" s="397"/>
      <c r="Q77" s="397"/>
      <c r="R77" s="397"/>
      <c r="S77" s="397"/>
    </row>
    <row r="78" spans="1:19" s="5" customFormat="1" ht="12.75">
      <c r="D78" s="5" t="s">
        <v>125</v>
      </c>
      <c r="E78" s="362">
        <f t="shared" ref="E78:H78" si="17">SUM(E74:E77)</f>
        <v>0</v>
      </c>
      <c r="F78" s="362">
        <f t="shared" si="17"/>
        <v>139013</v>
      </c>
      <c r="G78" s="362">
        <f t="shared" si="17"/>
        <v>140000</v>
      </c>
      <c r="H78" s="362">
        <f t="shared" si="17"/>
        <v>140000</v>
      </c>
      <c r="I78" s="362"/>
      <c r="J78" s="362">
        <f>SUM(J74:J77)</f>
        <v>0</v>
      </c>
      <c r="K78" s="362">
        <f>SUM(K74:K77)</f>
        <v>0</v>
      </c>
      <c r="L78" s="866"/>
      <c r="M78" s="891"/>
      <c r="N78" s="866"/>
      <c r="O78" s="866"/>
      <c r="P78" s="868"/>
      <c r="Q78" s="868"/>
      <c r="R78" s="868"/>
      <c r="S78" s="868"/>
    </row>
    <row r="79" spans="1:19">
      <c r="D79" s="873"/>
      <c r="E79" s="357"/>
      <c r="F79" s="855"/>
      <c r="G79" s="853"/>
      <c r="H79" s="853"/>
      <c r="J79" s="707"/>
      <c r="K79" s="853"/>
      <c r="L79" s="850"/>
      <c r="M79" s="856"/>
      <c r="N79" s="850"/>
      <c r="O79" s="850"/>
      <c r="P79" s="397"/>
      <c r="Q79" s="397"/>
      <c r="R79" s="397"/>
      <c r="S79" s="397"/>
    </row>
    <row r="80" spans="1:19">
      <c r="D80" s="5" t="s">
        <v>134</v>
      </c>
      <c r="E80" s="360"/>
      <c r="F80" s="365"/>
      <c r="G80" s="356"/>
      <c r="H80" s="356"/>
      <c r="J80" s="362"/>
      <c r="K80" s="356"/>
      <c r="L80" s="850"/>
      <c r="M80" s="869"/>
      <c r="N80" s="850"/>
      <c r="O80" s="850"/>
      <c r="P80" s="397"/>
      <c r="Q80" s="397"/>
      <c r="R80" s="397"/>
      <c r="S80" s="397"/>
    </row>
    <row r="81" spans="1:19">
      <c r="A81" s="779">
        <v>500</v>
      </c>
      <c r="B81" s="779">
        <v>420</v>
      </c>
      <c r="C81" s="779">
        <v>55100</v>
      </c>
      <c r="D81" s="779" t="s">
        <v>505</v>
      </c>
      <c r="E81" s="707">
        <v>150000</v>
      </c>
      <c r="F81" s="707">
        <v>0</v>
      </c>
      <c r="G81" s="707">
        <v>0</v>
      </c>
      <c r="H81" s="707">
        <v>0</v>
      </c>
      <c r="J81" s="707">
        <f t="shared" ref="J81" si="18">IF($M$2="Yes",H81,0)</f>
        <v>0</v>
      </c>
      <c r="K81" s="857">
        <f t="shared" ref="K81" si="19">IF($N$2="Yes",J81,0)</f>
        <v>0</v>
      </c>
      <c r="L81" s="850"/>
      <c r="M81" s="869"/>
      <c r="N81" s="850"/>
      <c r="O81" s="850"/>
      <c r="P81" s="397"/>
      <c r="Q81" s="397"/>
      <c r="R81" s="397"/>
      <c r="S81" s="397"/>
    </row>
    <row r="82" spans="1:19" hidden="1">
      <c r="A82" s="779">
        <v>500</v>
      </c>
      <c r="B82" s="779">
        <v>420</v>
      </c>
      <c r="C82" s="779">
        <v>55100</v>
      </c>
      <c r="D82" s="850" t="s">
        <v>135</v>
      </c>
      <c r="E82" s="886"/>
      <c r="F82" s="888"/>
      <c r="G82" s="1041"/>
      <c r="H82" s="1041"/>
      <c r="I82" s="633"/>
      <c r="J82" s="886"/>
      <c r="K82" s="892"/>
      <c r="L82" s="850"/>
      <c r="M82" s="882"/>
      <c r="N82" s="850"/>
      <c r="O82" s="850"/>
      <c r="P82" s="397"/>
      <c r="Q82" s="397"/>
      <c r="R82" s="397"/>
      <c r="S82" s="397"/>
    </row>
    <row r="83" spans="1:19" ht="12.75" hidden="1">
      <c r="A83" s="779">
        <v>500</v>
      </c>
      <c r="B83" s="779">
        <v>420</v>
      </c>
      <c r="D83" s="779" t="s">
        <v>371</v>
      </c>
      <c r="E83" s="707">
        <v>0</v>
      </c>
      <c r="F83" s="707">
        <v>0</v>
      </c>
      <c r="G83" s="1038">
        <v>0</v>
      </c>
      <c r="H83" s="1038">
        <v>0</v>
      </c>
      <c r="I83" s="707"/>
      <c r="J83" s="707">
        <f t="shared" ref="J83:J84" si="20">IF($M$2="Yes",H83,0)</f>
        <v>0</v>
      </c>
      <c r="K83" s="857">
        <f t="shared" ref="K83:K84" si="21">IF($N$2="Yes",J83,0)</f>
        <v>0</v>
      </c>
      <c r="L83" s="850"/>
      <c r="M83" s="876"/>
      <c r="N83" s="850"/>
      <c r="O83" s="850"/>
      <c r="P83" s="397"/>
      <c r="Q83" s="397"/>
      <c r="R83" s="397"/>
      <c r="S83" s="397"/>
    </row>
    <row r="84" spans="1:19" ht="12.75">
      <c r="A84" s="779">
        <v>500</v>
      </c>
      <c r="B84" s="779">
        <v>420</v>
      </c>
      <c r="C84" s="779">
        <v>55600</v>
      </c>
      <c r="D84" s="779" t="s">
        <v>156</v>
      </c>
      <c r="E84" s="708">
        <v>3200</v>
      </c>
      <c r="F84" s="708">
        <v>3200</v>
      </c>
      <c r="G84" s="708">
        <v>3200</v>
      </c>
      <c r="H84" s="708">
        <f>'CIP_Rec Costs'!E10+'CIP_Rec Costs'!E17+'CIP_Rec Costs'!E27+'CIP_Rec Costs'!E28</f>
        <v>3200</v>
      </c>
      <c r="I84" s="707"/>
      <c r="J84" s="708">
        <f t="shared" si="20"/>
        <v>0</v>
      </c>
      <c r="K84" s="858">
        <f t="shared" si="21"/>
        <v>0</v>
      </c>
      <c r="L84" s="850"/>
      <c r="M84" s="876"/>
      <c r="N84" s="850"/>
      <c r="O84" s="850"/>
      <c r="P84" s="397"/>
      <c r="Q84" s="397"/>
      <c r="R84" s="397"/>
      <c r="S84" s="397"/>
    </row>
    <row r="85" spans="1:19" s="5" customFormat="1" ht="12.75">
      <c r="D85" s="5" t="s">
        <v>136</v>
      </c>
      <c r="E85" s="360">
        <f>SUM(E81:E84)</f>
        <v>153200</v>
      </c>
      <c r="F85" s="360">
        <f t="shared" ref="F85:H85" si="22">SUM(F81:F84)</f>
        <v>3200</v>
      </c>
      <c r="G85" s="360">
        <f t="shared" si="22"/>
        <v>3200</v>
      </c>
      <c r="H85" s="360">
        <f t="shared" si="22"/>
        <v>3200</v>
      </c>
      <c r="I85" s="893"/>
      <c r="J85" s="360">
        <f t="shared" ref="J85:K85" si="23">SUM(J81:J84)</f>
        <v>0</v>
      </c>
      <c r="K85" s="360">
        <f t="shared" si="23"/>
        <v>0</v>
      </c>
      <c r="L85" s="866"/>
      <c r="M85" s="863"/>
      <c r="N85" s="866"/>
      <c r="O85" s="866"/>
      <c r="P85" s="868"/>
      <c r="Q85" s="868"/>
      <c r="R85" s="868"/>
      <c r="S85" s="868"/>
    </row>
    <row r="86" spans="1:19" s="5" customFormat="1" ht="13.5" thickBot="1">
      <c r="E86" s="894"/>
      <c r="F86" s="895"/>
      <c r="G86" s="896"/>
      <c r="H86" s="896"/>
      <c r="I86" s="893"/>
      <c r="J86" s="895"/>
      <c r="K86" s="896"/>
      <c r="L86" s="866"/>
      <c r="M86" s="863"/>
      <c r="N86" s="866"/>
      <c r="O86" s="866"/>
      <c r="P86" s="868"/>
      <c r="Q86" s="868"/>
      <c r="R86" s="868"/>
      <c r="S86" s="868"/>
    </row>
    <row r="87" spans="1:19" s="5" customFormat="1" ht="13.5" thickTop="1">
      <c r="D87" s="5" t="s">
        <v>28</v>
      </c>
      <c r="E87" s="362">
        <f>SUM(E85+E78+E71+E57+E30)</f>
        <v>629772</v>
      </c>
      <c r="F87" s="362">
        <f>SUM(F85+F78+F71+F57+F30)</f>
        <v>810792</v>
      </c>
      <c r="G87" s="362">
        <f>SUM(G85+G78+G71+G57+G30)</f>
        <v>1731646.4588901259</v>
      </c>
      <c r="H87" s="362">
        <f>SUM(H85+H78+H71+H57+H30)</f>
        <v>1798300.1629568199</v>
      </c>
      <c r="I87" s="893"/>
      <c r="J87" s="362">
        <f>SUM(J85+J78+J71+J57+J30)</f>
        <v>0</v>
      </c>
      <c r="K87" s="362">
        <f>SUM(K85+K78+K71+K57+K30)</f>
        <v>0</v>
      </c>
      <c r="L87" s="866"/>
      <c r="M87" s="863"/>
      <c r="N87" s="866"/>
      <c r="O87" s="866"/>
      <c r="P87" s="868"/>
      <c r="Q87" s="868"/>
      <c r="R87" s="868"/>
      <c r="S87" s="868"/>
    </row>
    <row r="88" spans="1:19" s="5" customFormat="1" ht="12.75">
      <c r="E88" s="362"/>
      <c r="F88" s="362"/>
      <c r="G88" s="362"/>
      <c r="H88" s="362"/>
      <c r="I88" s="893"/>
      <c r="J88" s="362"/>
      <c r="K88" s="362"/>
      <c r="L88" s="866"/>
      <c r="M88" s="863"/>
      <c r="N88" s="866"/>
      <c r="O88" s="866"/>
      <c r="P88" s="868"/>
      <c r="Q88" s="868"/>
      <c r="R88" s="868"/>
      <c r="S88" s="868"/>
    </row>
    <row r="89" spans="1:19" ht="12.75" hidden="1">
      <c r="D89" s="5" t="s">
        <v>423</v>
      </c>
      <c r="E89" s="865"/>
      <c r="F89" s="857"/>
      <c r="G89" s="853"/>
      <c r="H89" s="853"/>
      <c r="I89" s="853"/>
      <c r="J89" s="853"/>
      <c r="K89" s="853"/>
    </row>
    <row r="90" spans="1:19" ht="12.75" hidden="1">
      <c r="D90" s="779" t="s">
        <v>371</v>
      </c>
      <c r="E90" s="853">
        <v>0</v>
      </c>
      <c r="F90" s="857">
        <v>0</v>
      </c>
      <c r="G90" s="857">
        <v>0</v>
      </c>
      <c r="H90" s="857">
        <v>0</v>
      </c>
      <c r="I90" s="857"/>
      <c r="J90" s="857">
        <f t="shared" ref="J90:J95" si="24">IF($M$2="Yes",H90,0)</f>
        <v>0</v>
      </c>
      <c r="K90" s="857">
        <f t="shared" ref="K90:K95" si="25">IF($N$2="Yes",J90,0)</f>
        <v>0</v>
      </c>
    </row>
    <row r="91" spans="1:19" ht="12.75" hidden="1">
      <c r="D91" s="779" t="s">
        <v>173</v>
      </c>
      <c r="E91" s="354">
        <v>0</v>
      </c>
      <c r="F91" s="855">
        <v>0</v>
      </c>
      <c r="G91" s="857">
        <v>0</v>
      </c>
      <c r="H91" s="857">
        <v>0</v>
      </c>
      <c r="I91" s="365"/>
      <c r="J91" s="857">
        <f t="shared" si="24"/>
        <v>0</v>
      </c>
      <c r="K91" s="857">
        <f t="shared" si="25"/>
        <v>0</v>
      </c>
      <c r="L91" s="850"/>
      <c r="M91" s="856"/>
      <c r="N91" s="850"/>
      <c r="O91" s="850"/>
      <c r="P91" s="397"/>
      <c r="Q91" s="397"/>
      <c r="R91" s="397"/>
      <c r="S91" s="397"/>
    </row>
    <row r="92" spans="1:19" ht="12.75" hidden="1">
      <c r="D92" s="779" t="s">
        <v>156</v>
      </c>
      <c r="E92" s="368">
        <v>0</v>
      </c>
      <c r="F92" s="860">
        <v>0</v>
      </c>
      <c r="G92" s="858">
        <v>0</v>
      </c>
      <c r="H92" s="858">
        <v>0</v>
      </c>
      <c r="I92" s="365"/>
      <c r="J92" s="858">
        <f t="shared" si="24"/>
        <v>0</v>
      </c>
      <c r="K92" s="858">
        <f t="shared" si="25"/>
        <v>0</v>
      </c>
      <c r="L92" s="850"/>
      <c r="M92" s="856"/>
      <c r="N92" s="850"/>
      <c r="O92" s="850"/>
      <c r="P92" s="397"/>
      <c r="Q92" s="397"/>
      <c r="R92" s="397"/>
      <c r="S92" s="397"/>
    </row>
    <row r="93" spans="1:19" hidden="1">
      <c r="D93" s="779" t="s">
        <v>131</v>
      </c>
      <c r="E93" s="354">
        <v>0</v>
      </c>
      <c r="F93" s="709">
        <v>0</v>
      </c>
      <c r="G93" s="709">
        <v>0</v>
      </c>
      <c r="H93" s="857">
        <v>0</v>
      </c>
      <c r="I93" s="442">
        <v>3</v>
      </c>
      <c r="J93" s="857">
        <f t="shared" si="24"/>
        <v>0</v>
      </c>
      <c r="K93" s="857">
        <f t="shared" si="25"/>
        <v>0</v>
      </c>
      <c r="L93" s="850"/>
      <c r="M93" s="856"/>
      <c r="N93" s="850"/>
      <c r="O93" s="850"/>
      <c r="P93" s="397"/>
      <c r="Q93" s="397"/>
      <c r="R93" s="397"/>
      <c r="S93" s="397"/>
    </row>
    <row r="94" spans="1:19" hidden="1">
      <c r="D94" s="779" t="s">
        <v>174</v>
      </c>
      <c r="E94" s="354">
        <v>0</v>
      </c>
      <c r="F94" s="857">
        <v>0</v>
      </c>
      <c r="G94" s="857">
        <v>0</v>
      </c>
      <c r="H94" s="857">
        <v>0</v>
      </c>
      <c r="I94" s="442">
        <v>4</v>
      </c>
      <c r="J94" s="857">
        <f t="shared" si="24"/>
        <v>0</v>
      </c>
      <c r="K94" s="857">
        <f t="shared" si="25"/>
        <v>0</v>
      </c>
      <c r="L94" s="850"/>
      <c r="M94" s="856"/>
      <c r="N94" s="850"/>
      <c r="O94" s="850"/>
      <c r="P94" s="397"/>
      <c r="Q94" s="397"/>
      <c r="R94" s="397"/>
      <c r="S94" s="397"/>
    </row>
    <row r="95" spans="1:19" hidden="1">
      <c r="D95" s="779" t="s">
        <v>122</v>
      </c>
      <c r="E95" s="368">
        <v>0</v>
      </c>
      <c r="F95" s="1002">
        <v>0</v>
      </c>
      <c r="G95" s="858">
        <v>0</v>
      </c>
      <c r="H95" s="858">
        <v>0</v>
      </c>
      <c r="I95" s="442">
        <v>5</v>
      </c>
      <c r="J95" s="858">
        <f t="shared" si="24"/>
        <v>0</v>
      </c>
      <c r="K95" s="858">
        <f t="shared" si="25"/>
        <v>0</v>
      </c>
      <c r="L95" s="850"/>
      <c r="M95" s="882"/>
      <c r="N95" s="850"/>
      <c r="O95" s="850"/>
      <c r="P95" s="397"/>
      <c r="Q95" s="397"/>
      <c r="R95" s="397"/>
      <c r="S95" s="397"/>
    </row>
    <row r="96" spans="1:19" ht="12.75" hidden="1">
      <c r="D96" s="5" t="s">
        <v>358</v>
      </c>
      <c r="E96" s="897">
        <f t="shared" ref="E96:F96" si="26">SUM(E90:E95)</f>
        <v>0</v>
      </c>
      <c r="F96" s="897">
        <f t="shared" si="26"/>
        <v>0</v>
      </c>
      <c r="G96" s="897">
        <f>SUM(G90:G95)</f>
        <v>0</v>
      </c>
      <c r="H96" s="897">
        <f t="shared" ref="H96:K96" si="27">SUM(H90:H95)</f>
        <v>0</v>
      </c>
      <c r="I96" s="366"/>
      <c r="J96" s="897">
        <f t="shared" si="27"/>
        <v>0</v>
      </c>
      <c r="K96" s="897">
        <f t="shared" si="27"/>
        <v>0</v>
      </c>
    </row>
    <row r="97" spans="1:19" hidden="1">
      <c r="E97" s="360"/>
      <c r="F97" s="365"/>
      <c r="G97" s="356"/>
      <c r="H97" s="356"/>
      <c r="J97" s="362"/>
      <c r="K97" s="356"/>
      <c r="L97" s="850"/>
      <c r="M97" s="869"/>
      <c r="N97" s="850"/>
      <c r="O97" s="850"/>
      <c r="P97" s="397"/>
      <c r="Q97" s="397"/>
      <c r="R97" s="397"/>
      <c r="S97" s="397"/>
    </row>
    <row r="98" spans="1:19" ht="15" thickBot="1">
      <c r="A98" s="779">
        <v>500</v>
      </c>
      <c r="B98" s="779">
        <v>998</v>
      </c>
      <c r="C98" s="779">
        <v>58000</v>
      </c>
      <c r="D98" s="5" t="s">
        <v>245</v>
      </c>
      <c r="E98" s="898">
        <v>0</v>
      </c>
      <c r="F98" s="895">
        <v>0</v>
      </c>
      <c r="G98" s="896">
        <v>100000</v>
      </c>
      <c r="H98" s="896">
        <v>100000</v>
      </c>
      <c r="I98" s="711"/>
      <c r="J98" s="895">
        <f t="shared" ref="J98" si="28">IF($M$2="Yes",H98,0)</f>
        <v>0</v>
      </c>
      <c r="K98" s="899">
        <f t="shared" ref="K98" si="29">IF($N$2="Yes",J98,0)</f>
        <v>0</v>
      </c>
      <c r="L98" s="850"/>
      <c r="M98" s="863"/>
      <c r="N98" s="850"/>
      <c r="O98" s="850"/>
      <c r="P98" s="397"/>
      <c r="Q98" s="397"/>
      <c r="R98" s="397"/>
      <c r="S98" s="397"/>
    </row>
    <row r="99" spans="1:19" ht="15" thickTop="1">
      <c r="D99" s="5" t="s">
        <v>361</v>
      </c>
      <c r="E99" s="362">
        <f>SUM(+E96+E87)</f>
        <v>629772</v>
      </c>
      <c r="F99" s="362">
        <f>SUM(+F96+F87)</f>
        <v>810792</v>
      </c>
      <c r="G99" s="362">
        <f>SUM(+G96+G87+G98)</f>
        <v>1831646.4588901259</v>
      </c>
      <c r="H99" s="362">
        <f>H87+H96+H98</f>
        <v>1898300.1629568199</v>
      </c>
      <c r="I99" s="711"/>
      <c r="J99" s="362">
        <f>SUM(J30+J57+J71+J78+J85+J96+J98)</f>
        <v>0</v>
      </c>
      <c r="K99" s="362">
        <f>SUM(K30+K57+K71+K78+K85+K96+K98)</f>
        <v>0</v>
      </c>
      <c r="L99" s="850"/>
      <c r="M99" s="863"/>
      <c r="N99" s="850"/>
      <c r="O99" s="850"/>
      <c r="P99" s="397"/>
      <c r="Q99" s="397"/>
      <c r="R99" s="397"/>
      <c r="S99" s="397"/>
    </row>
    <row r="100" spans="1:19">
      <c r="F100" s="857"/>
      <c r="G100" s="853"/>
      <c r="H100" s="857"/>
      <c r="I100" s="442"/>
      <c r="J100" s="707"/>
      <c r="K100" s="857"/>
      <c r="L100" s="850"/>
      <c r="M100" s="856"/>
      <c r="N100" s="850"/>
      <c r="O100" s="850"/>
      <c r="P100" s="397"/>
      <c r="Q100" s="397"/>
      <c r="R100" s="397"/>
      <c r="S100" s="397"/>
    </row>
    <row r="101" spans="1:19" ht="15" thickBot="1">
      <c r="A101" s="779">
        <v>500</v>
      </c>
      <c r="B101" s="779">
        <v>999</v>
      </c>
      <c r="C101" s="779">
        <v>59000</v>
      </c>
      <c r="D101" s="5" t="s">
        <v>401</v>
      </c>
      <c r="E101" s="857">
        <v>759714</v>
      </c>
      <c r="F101" s="857">
        <f>F22-F99</f>
        <v>639482</v>
      </c>
      <c r="G101" s="857">
        <v>326431</v>
      </c>
      <c r="H101" s="857">
        <f>H22-H99</f>
        <v>259776.83704318013</v>
      </c>
      <c r="I101" s="442"/>
      <c r="J101" s="707">
        <f>IF($M$2="Yes",H101,0)</f>
        <v>0</v>
      </c>
      <c r="K101" s="857">
        <f t="shared" ref="K101" si="30">IF($N$2="Yes",J101,0)</f>
        <v>0</v>
      </c>
      <c r="L101" s="850"/>
      <c r="M101" s="856"/>
      <c r="N101" s="850"/>
      <c r="O101" s="850"/>
      <c r="P101" s="397"/>
      <c r="Q101" s="397"/>
      <c r="R101" s="397"/>
      <c r="S101" s="397"/>
    </row>
    <row r="102" spans="1:19" s="5" customFormat="1" ht="15" thickTop="1">
      <c r="D102" s="5" t="s">
        <v>150</v>
      </c>
      <c r="E102" s="900">
        <f>E99+E101</f>
        <v>1389486</v>
      </c>
      <c r="F102" s="900">
        <f t="shared" ref="F102:H102" si="31">F99+F101</f>
        <v>1450274</v>
      </c>
      <c r="G102" s="900">
        <f t="shared" si="31"/>
        <v>2158077.4588901261</v>
      </c>
      <c r="H102" s="900">
        <f t="shared" si="31"/>
        <v>2158077</v>
      </c>
      <c r="I102" s="358" t="s">
        <v>5</v>
      </c>
      <c r="J102" s="900">
        <f t="shared" ref="J102:K102" si="32">J99+J101</f>
        <v>0</v>
      </c>
      <c r="K102" s="900">
        <f t="shared" si="32"/>
        <v>0</v>
      </c>
      <c r="L102" s="866"/>
      <c r="M102" s="901"/>
      <c r="N102" s="866"/>
      <c r="O102" s="866"/>
      <c r="P102" s="868"/>
      <c r="Q102" s="868"/>
      <c r="R102" s="868"/>
      <c r="S102" s="868"/>
    </row>
    <row r="103" spans="1:19" ht="12.75">
      <c r="F103" s="855"/>
      <c r="H103" s="852"/>
      <c r="I103" s="852"/>
      <c r="K103" s="865"/>
      <c r="L103" s="850"/>
      <c r="M103" s="876"/>
      <c r="N103" s="850"/>
      <c r="O103" s="850"/>
      <c r="P103" s="397"/>
      <c r="Q103" s="397"/>
      <c r="R103" s="397"/>
      <c r="S103" s="397"/>
    </row>
    <row r="104" spans="1:19" s="5" customFormat="1">
      <c r="D104" s="779" t="s">
        <v>419</v>
      </c>
      <c r="E104" s="902"/>
      <c r="F104" s="1003"/>
      <c r="G104" s="707"/>
      <c r="H104" s="865">
        <f>H22-H102</f>
        <v>0</v>
      </c>
      <c r="I104" s="355"/>
      <c r="J104" s="852"/>
      <c r="K104" s="865"/>
      <c r="L104" s="866"/>
      <c r="M104" s="876"/>
      <c r="N104" s="866"/>
      <c r="O104" s="866"/>
      <c r="P104" s="868"/>
      <c r="Q104" s="868"/>
      <c r="R104" s="868"/>
      <c r="S104" s="868"/>
    </row>
    <row r="105" spans="1:19">
      <c r="D105" s="903"/>
      <c r="E105" s="904"/>
      <c r="F105" s="1004"/>
      <c r="G105" s="904"/>
      <c r="H105" s="904"/>
      <c r="I105" s="904"/>
      <c r="J105" s="904"/>
      <c r="K105" s="904"/>
      <c r="L105" s="856"/>
      <c r="M105" s="884"/>
      <c r="N105" s="905"/>
      <c r="O105" s="397"/>
    </row>
    <row r="106" spans="1:19">
      <c r="E106" s="893">
        <f>E102-E22</f>
        <v>0</v>
      </c>
      <c r="F106" s="707">
        <f t="shared" ref="F106:H106" si="33">F102-F22</f>
        <v>0</v>
      </c>
      <c r="G106" s="893">
        <f t="shared" si="33"/>
        <v>0.45889012608677149</v>
      </c>
      <c r="H106" s="893">
        <f t="shared" si="33"/>
        <v>0</v>
      </c>
      <c r="J106" s="893">
        <f t="shared" ref="J106:K106" si="34">J102-J22</f>
        <v>0</v>
      </c>
      <c r="K106" s="893">
        <f t="shared" si="34"/>
        <v>0</v>
      </c>
      <c r="M106" s="849"/>
    </row>
    <row r="107" spans="1:19">
      <c r="E107" s="893"/>
      <c r="F107" s="357"/>
      <c r="G107" s="893"/>
      <c r="M107" s="849"/>
    </row>
    <row r="108" spans="1:19">
      <c r="E108" s="893"/>
      <c r="F108" s="357"/>
      <c r="G108" s="893"/>
      <c r="M108" s="849"/>
    </row>
    <row r="109" spans="1:19">
      <c r="G109" s="893"/>
      <c r="M109" s="849"/>
    </row>
    <row r="111" spans="1:19">
      <c r="G111" s="893"/>
      <c r="M111" s="849"/>
    </row>
    <row r="112" spans="1:19">
      <c r="G112" s="893"/>
      <c r="M112" s="849"/>
    </row>
    <row r="113" spans="7:13">
      <c r="G113" s="893"/>
      <c r="M113" s="849"/>
    </row>
    <row r="114" spans="7:13">
      <c r="G114" s="893"/>
      <c r="M114" s="849"/>
    </row>
    <row r="115" spans="7:13">
      <c r="G115" s="893"/>
      <c r="M115" s="849"/>
    </row>
    <row r="116" spans="7:13">
      <c r="G116" s="893"/>
      <c r="M116" s="849"/>
    </row>
    <row r="117" spans="7:13">
      <c r="G117" s="893"/>
      <c r="M117" s="849"/>
    </row>
    <row r="118" spans="7:13">
      <c r="G118" s="893"/>
      <c r="M118" s="849"/>
    </row>
    <row r="119" spans="7:13">
      <c r="G119" s="893"/>
      <c r="M119" s="849"/>
    </row>
    <row r="120" spans="7:13">
      <c r="G120" s="893"/>
      <c r="M120" s="849"/>
    </row>
    <row r="121" spans="7:13">
      <c r="G121" s="893"/>
      <c r="M121" s="849"/>
    </row>
    <row r="122" spans="7:13">
      <c r="G122" s="893"/>
      <c r="M122" s="849"/>
    </row>
    <row r="123" spans="7:13">
      <c r="G123" s="893"/>
      <c r="M123" s="849"/>
    </row>
    <row r="124" spans="7:13">
      <c r="G124" s="893"/>
      <c r="M124" s="849"/>
    </row>
    <row r="140" spans="8:9" ht="12.75">
      <c r="H140" s="852"/>
      <c r="I140" s="852"/>
    </row>
    <row r="141" spans="8:9" ht="12.75">
      <c r="H141" s="852"/>
      <c r="I141" s="852"/>
    </row>
    <row r="142" spans="8:9" ht="12.75">
      <c r="H142" s="852"/>
      <c r="I142" s="852"/>
    </row>
    <row r="143" spans="8:9" ht="12.75">
      <c r="H143" s="852"/>
      <c r="I143" s="852"/>
    </row>
    <row r="144" spans="8:9" ht="12.75">
      <c r="H144" s="852"/>
      <c r="I144" s="852"/>
    </row>
    <row r="145" spans="8:9" ht="12.75">
      <c r="H145" s="852"/>
      <c r="I145" s="852"/>
    </row>
    <row r="146" spans="8:9" ht="12.75">
      <c r="H146" s="852"/>
      <c r="I146" s="852"/>
    </row>
    <row r="147" spans="8:9" ht="12.75">
      <c r="H147" s="852"/>
      <c r="I147" s="852"/>
    </row>
    <row r="148" spans="8:9" ht="12.75">
      <c r="H148" s="852"/>
      <c r="I148" s="852"/>
    </row>
    <row r="149" spans="8:9" ht="12.75">
      <c r="H149" s="852"/>
      <c r="I149" s="852"/>
    </row>
    <row r="150" spans="8:9" ht="12.75">
      <c r="H150" s="852"/>
      <c r="I150" s="852"/>
    </row>
    <row r="151" spans="8:9" ht="12.75">
      <c r="H151" s="852"/>
      <c r="I151" s="852"/>
    </row>
    <row r="152" spans="8:9" ht="12.75">
      <c r="H152" s="852"/>
      <c r="I152" s="852"/>
    </row>
    <row r="153" spans="8:9" ht="12.75">
      <c r="H153" s="852"/>
      <c r="I153" s="852"/>
    </row>
    <row r="154" spans="8:9" ht="12.75">
      <c r="H154" s="852"/>
      <c r="I154" s="852"/>
    </row>
    <row r="155" spans="8:9" ht="12.75">
      <c r="H155" s="852"/>
      <c r="I155" s="852"/>
    </row>
    <row r="156" spans="8:9" ht="12.75">
      <c r="H156" s="852"/>
      <c r="I156" s="852"/>
    </row>
    <row r="157" spans="8:9" ht="12.75">
      <c r="H157" s="852"/>
      <c r="I157" s="852"/>
    </row>
    <row r="158" spans="8:9" ht="12.75">
      <c r="H158" s="852"/>
      <c r="I158" s="852"/>
    </row>
    <row r="159" spans="8:9" ht="12.75">
      <c r="H159" s="852"/>
      <c r="I159" s="852"/>
    </row>
    <row r="160" spans="8:9" ht="12.75">
      <c r="H160" s="852"/>
      <c r="I160" s="852"/>
    </row>
    <row r="161" spans="8:9" ht="12.75">
      <c r="H161" s="852"/>
      <c r="I161" s="852"/>
    </row>
    <row r="162" spans="8:9" ht="12.75">
      <c r="H162" s="852"/>
      <c r="I162" s="852"/>
    </row>
    <row r="163" spans="8:9" ht="12.75">
      <c r="H163" s="852"/>
      <c r="I163" s="852"/>
    </row>
    <row r="164" spans="8:9" ht="12.75">
      <c r="H164" s="852"/>
      <c r="I164" s="852"/>
    </row>
    <row r="165" spans="8:9" ht="12.75">
      <c r="H165" s="852"/>
      <c r="I165" s="852"/>
    </row>
    <row r="166" spans="8:9" ht="12.75">
      <c r="H166" s="852"/>
      <c r="I166" s="852"/>
    </row>
    <row r="167" spans="8:9" ht="12.75">
      <c r="H167" s="852"/>
      <c r="I167" s="852"/>
    </row>
    <row r="168" spans="8:9" ht="12.75">
      <c r="H168" s="852"/>
      <c r="I168" s="852"/>
    </row>
    <row r="169" spans="8:9" ht="12.75">
      <c r="H169" s="852"/>
      <c r="I169" s="852"/>
    </row>
    <row r="170" spans="8:9" ht="12.75">
      <c r="H170" s="852"/>
      <c r="I170" s="852"/>
    </row>
    <row r="171" spans="8:9" ht="12.75">
      <c r="H171" s="852"/>
      <c r="I171" s="852"/>
    </row>
    <row r="172" spans="8:9" ht="12.75">
      <c r="H172" s="852"/>
      <c r="I172" s="852"/>
    </row>
    <row r="173" spans="8:9" ht="12.75">
      <c r="H173" s="852"/>
      <c r="I173" s="852"/>
    </row>
    <row r="174" spans="8:9" ht="12.75">
      <c r="H174" s="852"/>
      <c r="I174" s="852"/>
    </row>
    <row r="175" spans="8:9" ht="12.75">
      <c r="H175" s="852"/>
      <c r="I175" s="852"/>
    </row>
    <row r="176" spans="8:9" ht="12.75">
      <c r="H176" s="852"/>
      <c r="I176" s="852"/>
    </row>
    <row r="177" spans="8:9" ht="12.75">
      <c r="H177" s="852"/>
      <c r="I177" s="852"/>
    </row>
    <row r="178" spans="8:9" ht="12.75">
      <c r="H178" s="852"/>
      <c r="I178" s="852"/>
    </row>
    <row r="179" spans="8:9" ht="12.75">
      <c r="H179" s="852"/>
      <c r="I179" s="852"/>
    </row>
    <row r="180" spans="8:9" ht="12.75">
      <c r="H180" s="852"/>
      <c r="I180" s="852"/>
    </row>
    <row r="181" spans="8:9" ht="12.75">
      <c r="H181" s="852"/>
      <c r="I181" s="852"/>
    </row>
    <row r="182" spans="8:9" ht="12.75">
      <c r="H182" s="852"/>
      <c r="I182" s="852"/>
    </row>
    <row r="183" spans="8:9" ht="12.75">
      <c r="H183" s="852"/>
      <c r="I183" s="852"/>
    </row>
    <row r="184" spans="8:9" ht="12.75">
      <c r="H184" s="852"/>
      <c r="I184" s="852"/>
    </row>
    <row r="185" spans="8:9" ht="12.75">
      <c r="H185" s="852"/>
      <c r="I185" s="852"/>
    </row>
    <row r="186" spans="8:9" ht="12.75">
      <c r="H186" s="852"/>
      <c r="I186" s="852"/>
    </row>
    <row r="187" spans="8:9" ht="12.75">
      <c r="H187" s="852"/>
      <c r="I187" s="852"/>
    </row>
    <row r="188" spans="8:9" ht="12.75">
      <c r="H188" s="852"/>
      <c r="I188" s="852"/>
    </row>
    <row r="189" spans="8:9" ht="12.75">
      <c r="H189" s="852"/>
      <c r="I189" s="852"/>
    </row>
    <row r="190" spans="8:9" ht="12.75">
      <c r="H190" s="852"/>
      <c r="I190" s="852"/>
    </row>
    <row r="191" spans="8:9" ht="12.75">
      <c r="H191" s="852"/>
      <c r="I191" s="852"/>
    </row>
    <row r="192" spans="8:9" ht="12.75">
      <c r="H192" s="852"/>
      <c r="I192" s="852"/>
    </row>
    <row r="193" spans="8:9" ht="12.75">
      <c r="H193" s="852"/>
      <c r="I193" s="852"/>
    </row>
    <row r="194" spans="8:9" ht="12.75">
      <c r="H194" s="852"/>
      <c r="I194" s="852"/>
    </row>
    <row r="195" spans="8:9" ht="12.75">
      <c r="H195" s="852"/>
      <c r="I195" s="852"/>
    </row>
    <row r="196" spans="8:9" ht="12.75">
      <c r="H196" s="852"/>
      <c r="I196" s="852"/>
    </row>
    <row r="197" spans="8:9" ht="12.75">
      <c r="H197" s="852"/>
      <c r="I197" s="852"/>
    </row>
    <row r="198" spans="8:9" ht="12.75">
      <c r="H198" s="852"/>
      <c r="I198" s="852"/>
    </row>
    <row r="199" spans="8:9" ht="12.75">
      <c r="H199" s="852"/>
      <c r="I199" s="852"/>
    </row>
    <row r="200" spans="8:9" ht="12.75">
      <c r="H200" s="852"/>
      <c r="I200" s="852"/>
    </row>
    <row r="201" spans="8:9" ht="12.75">
      <c r="H201" s="852"/>
      <c r="I201" s="852"/>
    </row>
    <row r="202" spans="8:9" ht="12.75">
      <c r="H202" s="852"/>
      <c r="I202" s="852"/>
    </row>
    <row r="203" spans="8:9" ht="12.75">
      <c r="H203" s="852"/>
      <c r="I203" s="852"/>
    </row>
    <row r="204" spans="8:9" ht="12.75">
      <c r="H204" s="852"/>
      <c r="I204" s="852"/>
    </row>
    <row r="205" spans="8:9" ht="12.75">
      <c r="H205" s="852"/>
      <c r="I205" s="852"/>
    </row>
    <row r="206" spans="8:9" ht="12.75">
      <c r="H206" s="852"/>
      <c r="I206" s="852"/>
    </row>
    <row r="207" spans="8:9" ht="12.75">
      <c r="H207" s="852"/>
      <c r="I207" s="852"/>
    </row>
    <row r="208" spans="8:9" ht="12.75">
      <c r="H208" s="852"/>
      <c r="I208" s="852"/>
    </row>
    <row r="209" spans="8:9" ht="12.75">
      <c r="H209" s="852"/>
      <c r="I209" s="852"/>
    </row>
    <row r="210" spans="8:9" ht="12.75">
      <c r="H210" s="852"/>
      <c r="I210" s="852"/>
    </row>
    <row r="211" spans="8:9" ht="12.75">
      <c r="H211" s="852"/>
      <c r="I211" s="852"/>
    </row>
    <row r="212" spans="8:9" ht="12.75">
      <c r="H212" s="852"/>
      <c r="I212" s="852"/>
    </row>
    <row r="213" spans="8:9" ht="12.75">
      <c r="H213" s="852"/>
      <c r="I213" s="852"/>
    </row>
    <row r="214" spans="8:9" ht="12.75">
      <c r="H214" s="852"/>
      <c r="I214" s="852"/>
    </row>
    <row r="215" spans="8:9" ht="12.75">
      <c r="H215" s="852"/>
      <c r="I215" s="852"/>
    </row>
  </sheetData>
  <sortState ref="A33:K56">
    <sortCondition ref="C33:C56"/>
  </sortState>
  <mergeCells count="3">
    <mergeCell ref="D1:K1"/>
    <mergeCell ref="D2:K2"/>
    <mergeCell ref="D4:K4"/>
  </mergeCells>
  <phoneticPr fontId="0" type="noConversion"/>
  <printOptions horizontalCentered="1"/>
  <pageMargins left="0.7" right="0.7" top="0.75" bottom="0.94" header="0.3" footer="0.67"/>
  <pageSetup scale="69" fitToHeight="2" orientation="portrait" horizontalDpi="4294967293" r:id="rId1"/>
  <headerFooter>
    <oddHeader>&amp;C&amp;A</oddHeader>
    <oddFooter>&amp;C&amp;F</oddFooter>
  </headerFooter>
  <rowBreaks count="1" manualBreakCount="1">
    <brk id="57" min="3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24"/>
  <sheetViews>
    <sheetView zoomScale="70" zoomScaleNormal="70" zoomScaleSheetLayoutView="75" zoomScalePageLayoutView="64" workbookViewId="0">
      <selection activeCell="H8" sqref="H8"/>
    </sheetView>
  </sheetViews>
  <sheetFormatPr defaultColWidth="14.7109375" defaultRowHeight="18"/>
  <cols>
    <col min="1" max="3" width="10.7109375" style="443" customWidth="1"/>
    <col min="4" max="4" width="42.42578125" style="443" customWidth="1"/>
    <col min="5" max="6" width="14" style="443" customWidth="1"/>
    <col min="7" max="8" width="14" style="331" customWidth="1"/>
    <col min="9" max="9" width="3" style="447" bestFit="1" customWidth="1"/>
    <col min="10" max="11" width="15.42578125" style="443" customWidth="1"/>
    <col min="12" max="15" width="14.7109375" style="444"/>
    <col min="16" max="16384" width="14.7109375" style="443"/>
  </cols>
  <sheetData>
    <row r="1" spans="1:15" ht="15.75">
      <c r="D1" s="1072" t="s">
        <v>0</v>
      </c>
      <c r="E1" s="1072"/>
      <c r="F1" s="1072"/>
      <c r="G1" s="1072"/>
      <c r="H1" s="1072"/>
      <c r="I1" s="1072"/>
      <c r="J1" s="1072"/>
      <c r="K1" s="1072"/>
      <c r="L1" s="467"/>
      <c r="M1" s="39" t="s">
        <v>381</v>
      </c>
      <c r="N1" s="39" t="s">
        <v>382</v>
      </c>
      <c r="O1" s="467"/>
    </row>
    <row r="2" spans="1:15" ht="15.75">
      <c r="D2" s="1084" t="str">
        <f>Water!D2</f>
        <v>FISCAL YEAR 2022-2023</v>
      </c>
      <c r="E2" s="1084"/>
      <c r="F2" s="1084"/>
      <c r="G2" s="1084"/>
      <c r="H2" s="1084"/>
      <c r="I2" s="1084"/>
      <c r="J2" s="1084"/>
      <c r="K2" s="1084"/>
      <c r="L2" s="481"/>
      <c r="M2" s="780" t="s">
        <v>568</v>
      </c>
      <c r="N2" s="780" t="s">
        <v>568</v>
      </c>
      <c r="O2" s="481"/>
    </row>
    <row r="3" spans="1:15" ht="18.75" customHeight="1">
      <c r="D3" s="94"/>
      <c r="E3" s="94"/>
      <c r="F3" s="94"/>
      <c r="G3" s="94"/>
      <c r="H3" s="94"/>
      <c r="I3" s="432"/>
      <c r="J3" s="94"/>
      <c r="K3" s="94"/>
      <c r="L3" s="343"/>
      <c r="M3" s="343"/>
      <c r="N3" s="343"/>
      <c r="O3" s="343"/>
    </row>
    <row r="4" spans="1:15" ht="18.75" customHeight="1">
      <c r="D4" s="1083" t="s">
        <v>114</v>
      </c>
      <c r="E4" s="1083"/>
      <c r="F4" s="1083"/>
      <c r="G4" s="1083"/>
      <c r="H4" s="1083"/>
      <c r="I4" s="1083"/>
      <c r="J4" s="1083"/>
      <c r="K4" s="1083"/>
      <c r="L4" s="343"/>
      <c r="M4" s="939"/>
      <c r="N4" s="343"/>
      <c r="O4" s="343"/>
    </row>
    <row r="5" spans="1:15">
      <c r="D5" s="35"/>
      <c r="E5" s="35"/>
      <c r="F5" s="35"/>
      <c r="G5" s="35"/>
      <c r="H5" s="35"/>
      <c r="I5" s="433"/>
      <c r="J5" s="35"/>
      <c r="K5" s="35"/>
      <c r="L5" s="482"/>
      <c r="M5" s="445"/>
      <c r="N5" s="481"/>
      <c r="O5" s="481"/>
    </row>
    <row r="6" spans="1:15" ht="15.75">
      <c r="D6" s="434"/>
      <c r="E6" s="408" t="s">
        <v>54</v>
      </c>
      <c r="F6" s="408" t="s">
        <v>54</v>
      </c>
      <c r="G6" s="56" t="s">
        <v>1</v>
      </c>
      <c r="H6" s="56" t="s">
        <v>2</v>
      </c>
      <c r="I6" s="435"/>
      <c r="J6" s="408" t="s">
        <v>376</v>
      </c>
      <c r="K6" s="56" t="s">
        <v>377</v>
      </c>
      <c r="L6" s="335"/>
      <c r="M6" s="343"/>
      <c r="N6" s="343"/>
      <c r="O6" s="335"/>
    </row>
    <row r="7" spans="1:15" ht="15.75">
      <c r="D7" s="434"/>
      <c r="E7" s="408"/>
      <c r="F7" s="408"/>
      <c r="G7" s="56" t="s">
        <v>3</v>
      </c>
      <c r="H7" s="56" t="s">
        <v>56</v>
      </c>
      <c r="I7" s="435"/>
      <c r="J7" s="408" t="s">
        <v>56</v>
      </c>
      <c r="K7" s="56" t="s">
        <v>56</v>
      </c>
      <c r="L7" s="335"/>
      <c r="M7" s="343"/>
      <c r="N7" s="343"/>
      <c r="O7" s="335"/>
    </row>
    <row r="8" spans="1:15" s="326" customFormat="1" ht="14.25">
      <c r="A8" s="798"/>
      <c r="B8" s="798"/>
      <c r="C8" s="798"/>
      <c r="D8" s="434"/>
      <c r="E8" s="797" t="s">
        <v>330</v>
      </c>
      <c r="F8" s="797" t="s">
        <v>366</v>
      </c>
      <c r="G8" s="797" t="s">
        <v>472</v>
      </c>
      <c r="H8" s="1033" t="s">
        <v>473</v>
      </c>
      <c r="I8" s="436"/>
      <c r="J8" s="49" t="str">
        <f>H8</f>
        <v>2022-23</v>
      </c>
      <c r="K8" s="49" t="str">
        <f>J8</f>
        <v>2022-23</v>
      </c>
      <c r="L8" s="483"/>
      <c r="M8" s="483"/>
      <c r="N8" s="483"/>
      <c r="O8" s="483"/>
    </row>
    <row r="9" spans="1:15" ht="18.75">
      <c r="D9" s="449" t="s">
        <v>403</v>
      </c>
      <c r="E9" s="331"/>
      <c r="F9" s="331"/>
      <c r="K9" s="331"/>
      <c r="L9" s="332"/>
      <c r="M9" s="467"/>
      <c r="O9" s="332"/>
    </row>
    <row r="10" spans="1:15">
      <c r="A10" s="443">
        <v>510</v>
      </c>
      <c r="B10" s="1011">
        <v>0</v>
      </c>
      <c r="C10" s="1011">
        <v>40000</v>
      </c>
      <c r="D10" s="443" t="s">
        <v>6</v>
      </c>
      <c r="E10" s="798">
        <v>-1508</v>
      </c>
      <c r="F10" s="798">
        <f>E97</f>
        <v>127659</v>
      </c>
      <c r="G10" s="428">
        <v>90000</v>
      </c>
      <c r="H10" s="1042">
        <v>90000</v>
      </c>
      <c r="J10" s="328">
        <f t="shared" ref="J10:J20" si="0">IF($M$2="Yes",H10,0)</f>
        <v>0</v>
      </c>
      <c r="K10" s="798">
        <f t="shared" ref="K10:K20" si="1">IF($N$2="Yes",J10,0)</f>
        <v>0</v>
      </c>
      <c r="M10" s="467"/>
      <c r="N10" s="332"/>
    </row>
    <row r="11" spans="1:15">
      <c r="A11" s="443">
        <v>510</v>
      </c>
      <c r="B11" s="1011">
        <v>0</v>
      </c>
      <c r="C11" s="1011">
        <v>41100</v>
      </c>
      <c r="D11" s="443" t="s">
        <v>493</v>
      </c>
      <c r="E11" s="428">
        <v>8242</v>
      </c>
      <c r="F11" s="428">
        <v>30000</v>
      </c>
      <c r="G11" s="798">
        <v>30000</v>
      </c>
      <c r="H11" s="1043">
        <f>30000</f>
        <v>30000</v>
      </c>
      <c r="J11" s="328">
        <f t="shared" si="0"/>
        <v>0</v>
      </c>
      <c r="K11" s="326">
        <f t="shared" si="1"/>
        <v>0</v>
      </c>
      <c r="M11" s="484"/>
      <c r="N11" s="486"/>
    </row>
    <row r="12" spans="1:15">
      <c r="A12" s="443">
        <v>510</v>
      </c>
      <c r="B12" s="1011">
        <v>0</v>
      </c>
      <c r="C12" s="1011">
        <v>42039</v>
      </c>
      <c r="D12" s="443" t="s">
        <v>115</v>
      </c>
      <c r="E12" s="798">
        <v>257469</v>
      </c>
      <c r="F12" s="798">
        <v>325902</v>
      </c>
      <c r="G12" s="428">
        <v>320000</v>
      </c>
      <c r="H12" s="1042">
        <v>320000</v>
      </c>
      <c r="I12" s="337"/>
      <c r="J12" s="328">
        <f t="shared" si="0"/>
        <v>0</v>
      </c>
      <c r="K12" s="798">
        <f t="shared" si="1"/>
        <v>0</v>
      </c>
      <c r="M12" s="484"/>
      <c r="N12" s="486"/>
    </row>
    <row r="13" spans="1:15" hidden="1">
      <c r="A13" s="443">
        <v>510</v>
      </c>
      <c r="B13" s="1011">
        <v>0</v>
      </c>
      <c r="C13" s="1011"/>
      <c r="D13" s="443" t="s">
        <v>79</v>
      </c>
      <c r="E13" s="428">
        <v>0</v>
      </c>
      <c r="F13" s="428">
        <v>0</v>
      </c>
      <c r="G13" s="428">
        <v>0</v>
      </c>
      <c r="H13" s="1042">
        <v>0</v>
      </c>
      <c r="J13" s="328">
        <f t="shared" si="0"/>
        <v>0</v>
      </c>
      <c r="K13" s="798">
        <f t="shared" si="1"/>
        <v>0</v>
      </c>
      <c r="M13" s="467"/>
      <c r="N13" s="332"/>
    </row>
    <row r="14" spans="1:15" hidden="1">
      <c r="A14" s="443">
        <v>510</v>
      </c>
      <c r="B14" s="1011">
        <v>0</v>
      </c>
      <c r="C14" s="1011"/>
      <c r="D14" s="443" t="s">
        <v>9</v>
      </c>
      <c r="E14" s="428">
        <v>0</v>
      </c>
      <c r="F14" s="428">
        <v>0</v>
      </c>
      <c r="G14" s="428">
        <v>0</v>
      </c>
      <c r="H14" s="1042">
        <v>0</v>
      </c>
      <c r="J14" s="328">
        <f t="shared" si="0"/>
        <v>0</v>
      </c>
      <c r="K14" s="798">
        <f t="shared" si="1"/>
        <v>0</v>
      </c>
      <c r="M14" s="467"/>
      <c r="N14" s="332"/>
    </row>
    <row r="15" spans="1:15" hidden="1">
      <c r="A15" s="443">
        <v>510</v>
      </c>
      <c r="B15" s="1011">
        <v>0</v>
      </c>
      <c r="C15" s="1011">
        <v>42039</v>
      </c>
      <c r="D15" s="443" t="s">
        <v>402</v>
      </c>
      <c r="E15" s="798">
        <v>0</v>
      </c>
      <c r="F15" s="798">
        <v>0</v>
      </c>
      <c r="G15" s="428">
        <v>0</v>
      </c>
      <c r="H15" s="428">
        <v>0</v>
      </c>
      <c r="I15" s="337"/>
      <c r="J15" s="328">
        <f t="shared" si="0"/>
        <v>0</v>
      </c>
      <c r="K15" s="798">
        <f t="shared" si="1"/>
        <v>0</v>
      </c>
      <c r="M15" s="467"/>
      <c r="N15" s="976"/>
      <c r="O15" s="977"/>
    </row>
    <row r="16" spans="1:15">
      <c r="A16" s="443">
        <v>510</v>
      </c>
      <c r="B16" s="1011">
        <v>0</v>
      </c>
      <c r="C16" s="1011">
        <v>46030</v>
      </c>
      <c r="D16" s="443" t="s">
        <v>116</v>
      </c>
      <c r="E16" s="428">
        <v>0</v>
      </c>
      <c r="F16" s="428">
        <v>0</v>
      </c>
      <c r="G16" s="798">
        <v>1000</v>
      </c>
      <c r="H16" s="1043">
        <v>1000</v>
      </c>
      <c r="J16" s="328">
        <f t="shared" si="0"/>
        <v>0</v>
      </c>
      <c r="K16" s="798">
        <f t="shared" si="1"/>
        <v>0</v>
      </c>
      <c r="M16" s="467"/>
      <c r="N16" s="976"/>
      <c r="O16" s="977"/>
    </row>
    <row r="17" spans="1:15" hidden="1">
      <c r="A17" s="443">
        <v>510</v>
      </c>
      <c r="B17" s="1011">
        <v>0</v>
      </c>
      <c r="C17" s="1011"/>
      <c r="D17" s="443" t="s">
        <v>117</v>
      </c>
      <c r="E17" s="714">
        <v>0</v>
      </c>
      <c r="F17" s="428">
        <v>0</v>
      </c>
      <c r="G17" s="428">
        <v>0</v>
      </c>
      <c r="H17" s="1042">
        <v>0</v>
      </c>
      <c r="J17" s="328">
        <f t="shared" si="0"/>
        <v>0</v>
      </c>
      <c r="K17" s="798">
        <f t="shared" si="1"/>
        <v>0</v>
      </c>
      <c r="M17" s="467"/>
      <c r="N17" s="332"/>
    </row>
    <row r="18" spans="1:15">
      <c r="A18" s="443">
        <v>510</v>
      </c>
      <c r="B18" s="1011">
        <v>0</v>
      </c>
      <c r="C18" s="1011">
        <v>49012</v>
      </c>
      <c r="D18" s="443" t="s">
        <v>396</v>
      </c>
      <c r="E18" s="428">
        <v>150456</v>
      </c>
      <c r="F18" s="428">
        <f>1226+83849</f>
        <v>85075</v>
      </c>
      <c r="G18" s="428">
        <v>2500000</v>
      </c>
      <c r="H18" s="1042">
        <v>2500000</v>
      </c>
      <c r="J18" s="328">
        <f t="shared" si="0"/>
        <v>0</v>
      </c>
      <c r="K18" s="798">
        <f t="shared" si="1"/>
        <v>0</v>
      </c>
      <c r="M18" s="467"/>
      <c r="N18" s="332"/>
    </row>
    <row r="19" spans="1:15" hidden="1">
      <c r="A19" s="443">
        <v>510</v>
      </c>
      <c r="B19" s="1011">
        <v>0</v>
      </c>
      <c r="C19" s="1011"/>
      <c r="D19" s="443" t="s">
        <v>257</v>
      </c>
      <c r="E19" s="798">
        <v>0</v>
      </c>
      <c r="F19" s="798">
        <v>0</v>
      </c>
      <c r="G19" s="798">
        <v>0</v>
      </c>
      <c r="H19" s="1042">
        <v>0</v>
      </c>
      <c r="J19" s="328">
        <f t="shared" si="0"/>
        <v>0</v>
      </c>
      <c r="K19" s="798">
        <f t="shared" si="1"/>
        <v>0</v>
      </c>
      <c r="M19" s="467"/>
      <c r="N19" s="332"/>
    </row>
    <row r="20" spans="1:15" ht="18.75" thickBot="1">
      <c r="A20" s="443">
        <v>510</v>
      </c>
      <c r="B20" s="1011">
        <v>0</v>
      </c>
      <c r="C20" s="1011">
        <v>49600</v>
      </c>
      <c r="D20" s="443" t="s">
        <v>484</v>
      </c>
      <c r="E20" s="798">
        <v>8209</v>
      </c>
      <c r="F20" s="798">
        <v>0</v>
      </c>
      <c r="G20" s="798">
        <v>0</v>
      </c>
      <c r="H20" s="1043">
        <v>0</v>
      </c>
      <c r="J20" s="329">
        <f t="shared" si="0"/>
        <v>0</v>
      </c>
      <c r="K20" s="448">
        <f t="shared" si="1"/>
        <v>0</v>
      </c>
      <c r="L20" s="444" t="s">
        <v>485</v>
      </c>
      <c r="M20" s="467"/>
      <c r="N20" s="332"/>
    </row>
    <row r="21" spans="1:15" ht="19.5" thickTop="1">
      <c r="C21" s="1011"/>
      <c r="D21" s="449" t="s">
        <v>404</v>
      </c>
      <c r="E21" s="370">
        <f>SUM(E10:E20)</f>
        <v>422868</v>
      </c>
      <c r="F21" s="370">
        <f>SUM(F10:F20)</f>
        <v>568636</v>
      </c>
      <c r="G21" s="370">
        <f>SUM(G10:G20)</f>
        <v>2941000</v>
      </c>
      <c r="H21" s="370">
        <f>SUM(H10:H20)</f>
        <v>2941000</v>
      </c>
      <c r="I21" s="337"/>
      <c r="J21" s="370">
        <f t="shared" ref="J21:K21" si="2">SUM(J10:J20)</f>
        <v>0</v>
      </c>
      <c r="K21" s="370">
        <f t="shared" si="2"/>
        <v>0</v>
      </c>
      <c r="L21" s="342"/>
      <c r="M21" s="484"/>
      <c r="N21" s="342"/>
      <c r="O21" s="342"/>
    </row>
    <row r="22" spans="1:15">
      <c r="C22" s="1011"/>
      <c r="G22" s="443">
        <f>G21-G10</f>
        <v>2851000</v>
      </c>
      <c r="H22" s="443">
        <f>H21-H10</f>
        <v>2851000</v>
      </c>
      <c r="I22" s="337"/>
      <c r="J22" s="331">
        <f t="shared" ref="J22:K22" si="3">J21-J10</f>
        <v>0</v>
      </c>
      <c r="K22" s="443">
        <f t="shared" si="3"/>
        <v>0</v>
      </c>
      <c r="M22" s="484"/>
      <c r="N22" s="332"/>
    </row>
    <row r="23" spans="1:15" ht="18.75">
      <c r="C23" s="1011"/>
      <c r="D23" s="449" t="s">
        <v>405</v>
      </c>
      <c r="E23" s="331"/>
      <c r="G23" s="443"/>
      <c r="H23" s="443"/>
      <c r="J23" s="331"/>
      <c r="M23" s="467"/>
      <c r="N23" s="332"/>
    </row>
    <row r="24" spans="1:15">
      <c r="A24" s="443" t="s">
        <v>561</v>
      </c>
      <c r="C24" s="1011"/>
      <c r="D24" s="443" t="s">
        <v>220</v>
      </c>
      <c r="E24" s="798">
        <v>59605</v>
      </c>
      <c r="F24" s="798">
        <v>64863</v>
      </c>
      <c r="G24" s="798">
        <v>63090.821226764834</v>
      </c>
      <c r="H24" s="798">
        <f>'Personnel by Fund'!M60</f>
        <v>72479.343939031416</v>
      </c>
      <c r="J24" s="331">
        <f t="shared" ref="J24:J27" si="4">IF($M$2="Yes",H24,0)</f>
        <v>0</v>
      </c>
      <c r="K24" s="443">
        <f t="shared" ref="K24:K27" si="5">IF($N$2="Yes",J24,0)</f>
        <v>0</v>
      </c>
      <c r="M24" s="467"/>
      <c r="N24" s="332"/>
    </row>
    <row r="25" spans="1:15" ht="15">
      <c r="A25" s="443">
        <v>510</v>
      </c>
      <c r="B25" s="443">
        <v>430</v>
      </c>
      <c r="C25" s="1011">
        <v>51030</v>
      </c>
      <c r="D25" s="450" t="s">
        <v>198</v>
      </c>
      <c r="E25" s="451">
        <v>5607</v>
      </c>
      <c r="F25" s="451">
        <v>6620</v>
      </c>
      <c r="G25" s="798">
        <v>8719.1514935388986</v>
      </c>
      <c r="H25" s="798">
        <f>'Personnel by Fund'!M61</f>
        <v>10016.645332374139</v>
      </c>
      <c r="I25" s="452"/>
      <c r="J25" s="331">
        <f t="shared" si="4"/>
        <v>0</v>
      </c>
      <c r="K25" s="453">
        <f t="shared" si="5"/>
        <v>0</v>
      </c>
      <c r="M25" s="467"/>
      <c r="N25" s="332"/>
    </row>
    <row r="26" spans="1:15" ht="15">
      <c r="A26" s="443">
        <v>510</v>
      </c>
      <c r="B26" s="443">
        <v>430</v>
      </c>
      <c r="C26" s="1011">
        <v>51010</v>
      </c>
      <c r="D26" s="326" t="s">
        <v>260</v>
      </c>
      <c r="E26" s="451">
        <v>20293</v>
      </c>
      <c r="F26" s="451">
        <v>23376</v>
      </c>
      <c r="G26" s="798">
        <v>21771.436000000002</v>
      </c>
      <c r="H26" s="798">
        <f>'Personnel by Fund'!M62</f>
        <v>21771.436000000002</v>
      </c>
      <c r="I26" s="452"/>
      <c r="J26" s="331">
        <f t="shared" si="4"/>
        <v>0</v>
      </c>
      <c r="K26" s="453">
        <f t="shared" si="5"/>
        <v>0</v>
      </c>
      <c r="M26" s="467"/>
      <c r="N26" s="332"/>
    </row>
    <row r="27" spans="1:15">
      <c r="A27" s="443">
        <v>510</v>
      </c>
      <c r="B27" s="443">
        <v>430</v>
      </c>
      <c r="C27" s="1011">
        <v>51020</v>
      </c>
      <c r="D27" s="454" t="s">
        <v>276</v>
      </c>
      <c r="E27" s="455">
        <v>15093</v>
      </c>
      <c r="F27" s="455">
        <v>12307</v>
      </c>
      <c r="G27" s="327">
        <v>17135.467045189329</v>
      </c>
      <c r="H27" s="327">
        <f>'Personnel by Fund'!M63</f>
        <v>19685.389813840931</v>
      </c>
      <c r="I27" s="456"/>
      <c r="J27" s="383">
        <f t="shared" si="4"/>
        <v>0</v>
      </c>
      <c r="K27" s="457">
        <f t="shared" si="5"/>
        <v>0</v>
      </c>
      <c r="M27" s="467"/>
      <c r="N27" s="332"/>
    </row>
    <row r="28" spans="1:15" ht="18.75">
      <c r="C28" s="1011"/>
      <c r="D28" s="458" t="s">
        <v>406</v>
      </c>
      <c r="E28" s="338">
        <f>SUM(E24:E27)</f>
        <v>100598</v>
      </c>
      <c r="F28" s="338">
        <f>SUM(F24:F27)</f>
        <v>107166</v>
      </c>
      <c r="G28" s="338">
        <f>SUM(G24:G27)</f>
        <v>110716.87576549307</v>
      </c>
      <c r="H28" s="338">
        <f>SUM(H24:H27)</f>
        <v>123952.81508524649</v>
      </c>
      <c r="I28" s="456"/>
      <c r="J28" s="338">
        <f t="shared" ref="J28:K28" si="6">SUM(J24:J27)</f>
        <v>0</v>
      </c>
      <c r="K28" s="338">
        <f t="shared" si="6"/>
        <v>0</v>
      </c>
      <c r="M28" s="467"/>
      <c r="N28" s="332"/>
    </row>
    <row r="29" spans="1:15" ht="18.75">
      <c r="C29" s="1011"/>
      <c r="D29" s="449"/>
      <c r="E29" s="331"/>
      <c r="G29" s="443"/>
      <c r="H29" s="443"/>
      <c r="J29" s="331"/>
      <c r="M29" s="467"/>
      <c r="N29" s="332"/>
    </row>
    <row r="30" spans="1:15" ht="18.75">
      <c r="C30" s="1011"/>
      <c r="D30" s="449" t="s">
        <v>48</v>
      </c>
      <c r="E30" s="331"/>
      <c r="G30" s="443"/>
      <c r="H30" s="443"/>
      <c r="J30" s="331"/>
      <c r="L30" s="332"/>
      <c r="M30" s="467"/>
      <c r="N30" s="332"/>
      <c r="O30" s="332"/>
    </row>
    <row r="31" spans="1:15" s="326" customFormat="1" ht="17.25">
      <c r="A31" s="443">
        <v>510</v>
      </c>
      <c r="B31" s="443">
        <v>430</v>
      </c>
      <c r="C31" s="779">
        <v>52001</v>
      </c>
      <c r="D31" s="326" t="s">
        <v>118</v>
      </c>
      <c r="E31" s="353">
        <v>9580</v>
      </c>
      <c r="F31" s="353">
        <v>2856</v>
      </c>
      <c r="G31" s="353">
        <v>10000</v>
      </c>
      <c r="H31" s="353">
        <v>10000</v>
      </c>
      <c r="I31" s="460"/>
      <c r="J31" s="328">
        <f t="shared" ref="J31:J54" si="7">IF($M$2="Yes",H31,0)</f>
        <v>0</v>
      </c>
      <c r="K31" s="798">
        <f t="shared" ref="K31:K54" si="8">IF($N$2="Yes",J31,0)</f>
        <v>0</v>
      </c>
      <c r="L31" s="339"/>
      <c r="M31" s="468"/>
      <c r="N31" s="339"/>
      <c r="O31" s="339"/>
    </row>
    <row r="32" spans="1:15" s="326" customFormat="1" ht="16.5">
      <c r="A32" s="443">
        <v>510</v>
      </c>
      <c r="B32" s="443">
        <v>430</v>
      </c>
      <c r="C32" s="779">
        <v>52002</v>
      </c>
      <c r="D32" s="326" t="s">
        <v>39</v>
      </c>
      <c r="E32" s="798">
        <v>1850</v>
      </c>
      <c r="F32" s="798">
        <v>193</v>
      </c>
      <c r="G32" s="798">
        <v>500</v>
      </c>
      <c r="H32" s="798">
        <v>500</v>
      </c>
      <c r="I32" s="459"/>
      <c r="J32" s="328">
        <f t="shared" si="7"/>
        <v>0</v>
      </c>
      <c r="K32" s="798">
        <f t="shared" si="8"/>
        <v>0</v>
      </c>
      <c r="L32" s="427"/>
      <c r="M32" s="468"/>
      <c r="N32" s="340"/>
      <c r="O32" s="427"/>
    </row>
    <row r="33" spans="1:15" s="326" customFormat="1" ht="16.5">
      <c r="A33" s="443">
        <v>510</v>
      </c>
      <c r="B33" s="443">
        <v>430</v>
      </c>
      <c r="C33" s="779">
        <v>52010</v>
      </c>
      <c r="D33" s="326" t="s">
        <v>65</v>
      </c>
      <c r="E33" s="353">
        <v>0</v>
      </c>
      <c r="F33" s="353">
        <v>2121</v>
      </c>
      <c r="G33" s="798">
        <v>250</v>
      </c>
      <c r="H33" s="798">
        <v>250</v>
      </c>
      <c r="I33" s="459"/>
      <c r="J33" s="328">
        <f t="shared" si="7"/>
        <v>0</v>
      </c>
      <c r="K33" s="798">
        <f t="shared" si="8"/>
        <v>0</v>
      </c>
      <c r="L33" s="427"/>
      <c r="M33" s="468"/>
      <c r="N33" s="340"/>
      <c r="O33" s="427"/>
    </row>
    <row r="34" spans="1:15" s="326" customFormat="1" ht="16.5">
      <c r="A34" s="443">
        <v>510</v>
      </c>
      <c r="B34" s="443">
        <v>430</v>
      </c>
      <c r="C34" s="779">
        <v>52011</v>
      </c>
      <c r="D34" s="326" t="s">
        <v>120</v>
      </c>
      <c r="E34" s="798">
        <v>21909</v>
      </c>
      <c r="F34" s="798">
        <v>18661</v>
      </c>
      <c r="G34" s="798">
        <v>45000</v>
      </c>
      <c r="H34" s="798">
        <v>45000</v>
      </c>
      <c r="I34" s="461"/>
      <c r="J34" s="328">
        <f t="shared" si="7"/>
        <v>0</v>
      </c>
      <c r="K34" s="798">
        <f t="shared" si="8"/>
        <v>0</v>
      </c>
      <c r="L34" s="427"/>
      <c r="M34" s="468"/>
      <c r="N34" s="340"/>
      <c r="O34" s="427"/>
    </row>
    <row r="35" spans="1:15" s="326" customFormat="1" ht="16.5">
      <c r="A35" s="443">
        <v>510</v>
      </c>
      <c r="B35" s="443">
        <v>430</v>
      </c>
      <c r="C35" s="779">
        <v>52013</v>
      </c>
      <c r="D35" s="326" t="s">
        <v>40</v>
      </c>
      <c r="E35" s="798">
        <v>270</v>
      </c>
      <c r="F35" s="798">
        <v>199</v>
      </c>
      <c r="G35" s="798">
        <v>1000</v>
      </c>
      <c r="H35" s="798">
        <v>1000</v>
      </c>
      <c r="I35" s="459"/>
      <c r="J35" s="328">
        <f t="shared" si="7"/>
        <v>0</v>
      </c>
      <c r="K35" s="798">
        <f t="shared" si="8"/>
        <v>0</v>
      </c>
      <c r="L35" s="427"/>
      <c r="M35" s="468"/>
      <c r="N35" s="340"/>
      <c r="O35" s="427"/>
    </row>
    <row r="36" spans="1:15" s="326" customFormat="1" ht="16.5">
      <c r="A36" s="443">
        <v>510</v>
      </c>
      <c r="B36" s="443">
        <v>430</v>
      </c>
      <c r="C36" s="779">
        <v>52014</v>
      </c>
      <c r="D36" s="326" t="s">
        <v>99</v>
      </c>
      <c r="E36" s="427">
        <v>0</v>
      </c>
      <c r="F36" s="427">
        <v>0</v>
      </c>
      <c r="G36" s="427">
        <v>3300</v>
      </c>
      <c r="H36" s="427">
        <v>3300</v>
      </c>
      <c r="I36" s="459"/>
      <c r="J36" s="340">
        <f t="shared" si="7"/>
        <v>0</v>
      </c>
      <c r="K36" s="427">
        <f t="shared" si="8"/>
        <v>0</v>
      </c>
      <c r="L36" s="427"/>
      <c r="M36" s="468"/>
      <c r="N36" s="340"/>
      <c r="O36" s="427"/>
    </row>
    <row r="37" spans="1:15" s="326" customFormat="1" ht="16.5">
      <c r="A37" s="443">
        <v>510</v>
      </c>
      <c r="B37" s="443">
        <v>430</v>
      </c>
      <c r="C37" s="698">
        <v>52016</v>
      </c>
      <c r="D37" s="326" t="s">
        <v>94</v>
      </c>
      <c r="E37" s="798">
        <v>3342</v>
      </c>
      <c r="F37" s="798">
        <v>3610</v>
      </c>
      <c r="G37" s="798">
        <v>3800</v>
      </c>
      <c r="H37" s="798">
        <f>19000*0.2</f>
        <v>3800</v>
      </c>
      <c r="I37" s="459"/>
      <c r="J37" s="328">
        <f t="shared" si="7"/>
        <v>0</v>
      </c>
      <c r="K37" s="798">
        <f t="shared" si="8"/>
        <v>0</v>
      </c>
      <c r="L37" s="427"/>
      <c r="M37" s="468"/>
      <c r="N37" s="340"/>
      <c r="O37" s="427"/>
    </row>
    <row r="38" spans="1:15" s="326" customFormat="1" ht="16.5">
      <c r="A38" s="443">
        <v>510</v>
      </c>
      <c r="B38" s="443">
        <v>430</v>
      </c>
      <c r="C38" s="779">
        <v>52019</v>
      </c>
      <c r="D38" s="326" t="s">
        <v>72</v>
      </c>
      <c r="E38" s="798">
        <v>5302</v>
      </c>
      <c r="F38" s="798">
        <v>248</v>
      </c>
      <c r="G38" s="798">
        <v>2200</v>
      </c>
      <c r="H38" s="798">
        <v>2200</v>
      </c>
      <c r="I38" s="459"/>
      <c r="J38" s="328">
        <f t="shared" si="7"/>
        <v>0</v>
      </c>
      <c r="K38" s="798">
        <f t="shared" si="8"/>
        <v>0</v>
      </c>
      <c r="L38" s="427"/>
      <c r="M38" s="485"/>
      <c r="N38" s="340"/>
      <c r="O38" s="427"/>
    </row>
    <row r="39" spans="1:15" s="326" customFormat="1" ht="16.5">
      <c r="A39" s="443">
        <v>510</v>
      </c>
      <c r="B39" s="443">
        <v>430</v>
      </c>
      <c r="C39" s="779">
        <v>52020</v>
      </c>
      <c r="D39" s="326" t="s">
        <v>397</v>
      </c>
      <c r="E39" s="798">
        <v>0</v>
      </c>
      <c r="F39" s="798">
        <v>11571</v>
      </c>
      <c r="G39" s="798">
        <v>0</v>
      </c>
      <c r="H39" s="798">
        <v>0</v>
      </c>
      <c r="I39" s="460"/>
      <c r="J39" s="328">
        <f t="shared" si="7"/>
        <v>0</v>
      </c>
      <c r="K39" s="798">
        <f t="shared" si="8"/>
        <v>0</v>
      </c>
      <c r="L39" s="427"/>
      <c r="M39" s="485"/>
      <c r="N39" s="340"/>
      <c r="O39" s="427"/>
    </row>
    <row r="40" spans="1:15" s="326" customFormat="1" ht="17.25" customHeight="1">
      <c r="A40" s="443">
        <v>510</v>
      </c>
      <c r="B40" s="443">
        <v>430</v>
      </c>
      <c r="C40" s="779">
        <v>52022</v>
      </c>
      <c r="D40" s="326" t="s">
        <v>256</v>
      </c>
      <c r="E40" s="798">
        <v>593</v>
      </c>
      <c r="F40" s="798">
        <v>0</v>
      </c>
      <c r="G40" s="798">
        <v>1500</v>
      </c>
      <c r="H40" s="798">
        <v>1500</v>
      </c>
      <c r="I40" s="459"/>
      <c r="J40" s="328">
        <f t="shared" si="7"/>
        <v>0</v>
      </c>
      <c r="K40" s="798">
        <f t="shared" si="8"/>
        <v>0</v>
      </c>
      <c r="L40" s="427"/>
      <c r="M40" s="468"/>
      <c r="N40" s="340"/>
      <c r="O40" s="427"/>
    </row>
    <row r="41" spans="1:15" s="326" customFormat="1" ht="16.5">
      <c r="A41" s="443">
        <v>510</v>
      </c>
      <c r="B41" s="443">
        <v>430</v>
      </c>
      <c r="C41" s="779">
        <v>52023</v>
      </c>
      <c r="D41" s="326" t="s">
        <v>232</v>
      </c>
      <c r="E41" s="798">
        <v>2982</v>
      </c>
      <c r="F41" s="798">
        <v>0</v>
      </c>
      <c r="G41" s="798">
        <v>0</v>
      </c>
      <c r="H41" s="798">
        <v>0</v>
      </c>
      <c r="I41" s="459"/>
      <c r="J41" s="328">
        <f t="shared" si="7"/>
        <v>0</v>
      </c>
      <c r="K41" s="798">
        <f t="shared" si="8"/>
        <v>0</v>
      </c>
      <c r="L41" s="427"/>
      <c r="M41" s="485"/>
      <c r="N41" s="340"/>
      <c r="O41" s="427"/>
    </row>
    <row r="42" spans="1:15" s="326" customFormat="1" ht="16.5">
      <c r="A42" s="443">
        <v>510</v>
      </c>
      <c r="B42" s="443">
        <v>430</v>
      </c>
      <c r="C42" s="779">
        <v>52025</v>
      </c>
      <c r="D42" s="326" t="s">
        <v>234</v>
      </c>
      <c r="E42" s="798">
        <v>0</v>
      </c>
      <c r="F42" s="798">
        <v>0</v>
      </c>
      <c r="G42" s="798">
        <v>0</v>
      </c>
      <c r="H42" s="798">
        <v>0</v>
      </c>
      <c r="I42" s="459"/>
      <c r="J42" s="341">
        <f t="shared" si="7"/>
        <v>0</v>
      </c>
      <c r="K42" s="798">
        <f t="shared" si="8"/>
        <v>0</v>
      </c>
      <c r="L42" s="427"/>
      <c r="M42" s="485"/>
      <c r="N42" s="340"/>
      <c r="O42" s="427"/>
    </row>
    <row r="43" spans="1:15" s="326" customFormat="1" ht="16.5">
      <c r="A43" s="443">
        <v>510</v>
      </c>
      <c r="B43" s="443">
        <v>430</v>
      </c>
      <c r="C43" s="779">
        <v>52030</v>
      </c>
      <c r="D43" s="326" t="s">
        <v>23</v>
      </c>
      <c r="E43" s="798">
        <v>341</v>
      </c>
      <c r="F43" s="798">
        <v>876</v>
      </c>
      <c r="G43" s="798">
        <v>1000</v>
      </c>
      <c r="H43" s="798">
        <v>1000</v>
      </c>
      <c r="I43" s="459"/>
      <c r="J43" s="328">
        <f t="shared" si="7"/>
        <v>0</v>
      </c>
      <c r="K43" s="798">
        <f t="shared" si="8"/>
        <v>0</v>
      </c>
      <c r="L43" s="427"/>
      <c r="M43" s="468"/>
      <c r="N43" s="340"/>
      <c r="O43" s="427"/>
    </row>
    <row r="44" spans="1:15" s="326" customFormat="1" ht="16.5">
      <c r="A44" s="443">
        <v>510</v>
      </c>
      <c r="B44" s="443">
        <v>430</v>
      </c>
      <c r="C44" s="779">
        <v>52101</v>
      </c>
      <c r="D44" s="326" t="s">
        <v>258</v>
      </c>
      <c r="E44" s="798">
        <v>0</v>
      </c>
      <c r="F44" s="798">
        <v>986</v>
      </c>
      <c r="G44" s="798">
        <v>500</v>
      </c>
      <c r="H44" s="798">
        <v>500</v>
      </c>
      <c r="I44" s="459"/>
      <c r="J44" s="328">
        <f t="shared" si="7"/>
        <v>0</v>
      </c>
      <c r="K44" s="798">
        <f t="shared" si="8"/>
        <v>0</v>
      </c>
      <c r="L44" s="427"/>
      <c r="M44" s="485"/>
      <c r="N44" s="340"/>
      <c r="O44" s="427"/>
    </row>
    <row r="45" spans="1:15" s="326" customFormat="1" ht="16.5">
      <c r="A45" s="443">
        <v>510</v>
      </c>
      <c r="B45" s="443">
        <v>430</v>
      </c>
      <c r="C45" s="779">
        <v>52102</v>
      </c>
      <c r="D45" s="326" t="s">
        <v>36</v>
      </c>
      <c r="E45" s="798">
        <v>0</v>
      </c>
      <c r="F45" s="798">
        <v>3389</v>
      </c>
      <c r="G45" s="798">
        <v>100</v>
      </c>
      <c r="H45" s="798">
        <v>100</v>
      </c>
      <c r="I45" s="459"/>
      <c r="J45" s="328">
        <f t="shared" si="7"/>
        <v>0</v>
      </c>
      <c r="K45" s="798">
        <f t="shared" si="8"/>
        <v>0</v>
      </c>
      <c r="L45" s="427"/>
      <c r="M45" s="468"/>
      <c r="N45" s="340"/>
      <c r="O45" s="427"/>
    </row>
    <row r="46" spans="1:15" s="326" customFormat="1" ht="16.5">
      <c r="A46" s="443">
        <v>510</v>
      </c>
      <c r="B46" s="443">
        <v>430</v>
      </c>
      <c r="C46" s="779">
        <v>52103</v>
      </c>
      <c r="D46" s="326" t="s">
        <v>62</v>
      </c>
      <c r="E46" s="798">
        <v>6275</v>
      </c>
      <c r="F46" s="798">
        <v>7075</v>
      </c>
      <c r="G46" s="798">
        <v>10000</v>
      </c>
      <c r="H46" s="798">
        <v>10000</v>
      </c>
      <c r="I46" s="460"/>
      <c r="J46" s="328">
        <f t="shared" si="7"/>
        <v>0</v>
      </c>
      <c r="K46" s="798">
        <f t="shared" si="8"/>
        <v>0</v>
      </c>
      <c r="L46" s="427"/>
      <c r="M46" s="468"/>
      <c r="N46" s="340"/>
      <c r="O46" s="427"/>
    </row>
    <row r="47" spans="1:15" s="326" customFormat="1" ht="16.5">
      <c r="A47" s="443">
        <v>510</v>
      </c>
      <c r="B47" s="443">
        <v>430</v>
      </c>
      <c r="C47" s="779">
        <v>52104</v>
      </c>
      <c r="D47" s="326" t="s">
        <v>130</v>
      </c>
      <c r="E47" s="798">
        <v>3177</v>
      </c>
      <c r="F47" s="798">
        <v>1948</v>
      </c>
      <c r="G47" s="798">
        <v>4000</v>
      </c>
      <c r="H47" s="798">
        <v>4000</v>
      </c>
      <c r="I47" s="459"/>
      <c r="J47" s="328">
        <f t="shared" si="7"/>
        <v>0</v>
      </c>
      <c r="K47" s="798">
        <f t="shared" si="8"/>
        <v>0</v>
      </c>
      <c r="L47" s="427"/>
      <c r="M47" s="468"/>
      <c r="N47" s="340"/>
      <c r="O47" s="427"/>
    </row>
    <row r="48" spans="1:15" s="798" customFormat="1" ht="16.5">
      <c r="A48" s="443">
        <v>510</v>
      </c>
      <c r="B48" s="443">
        <v>430</v>
      </c>
      <c r="C48" s="779">
        <v>52105</v>
      </c>
      <c r="D48" s="798" t="s">
        <v>45</v>
      </c>
      <c r="E48" s="353">
        <v>700</v>
      </c>
      <c r="F48" s="353">
        <v>740</v>
      </c>
      <c r="G48" s="353">
        <v>0</v>
      </c>
      <c r="H48" s="353">
        <v>0</v>
      </c>
      <c r="I48" s="459"/>
      <c r="J48" s="328">
        <f t="shared" si="7"/>
        <v>0</v>
      </c>
      <c r="K48" s="798">
        <f t="shared" si="8"/>
        <v>0</v>
      </c>
      <c r="L48" s="427"/>
      <c r="M48" s="468"/>
      <c r="N48" s="340"/>
      <c r="O48" s="427"/>
    </row>
    <row r="49" spans="1:15" s="326" customFormat="1" ht="16.5">
      <c r="A49" s="443">
        <v>510</v>
      </c>
      <c r="B49" s="443">
        <v>430</v>
      </c>
      <c r="C49" s="779">
        <v>52106</v>
      </c>
      <c r="D49" s="326" t="s">
        <v>141</v>
      </c>
      <c r="E49" s="798">
        <v>0</v>
      </c>
      <c r="F49" s="798">
        <v>0</v>
      </c>
      <c r="G49" s="798">
        <v>500</v>
      </c>
      <c r="H49" s="798">
        <v>500</v>
      </c>
      <c r="I49" s="459"/>
      <c r="J49" s="328">
        <f t="shared" si="7"/>
        <v>0</v>
      </c>
      <c r="K49" s="798">
        <f t="shared" si="8"/>
        <v>0</v>
      </c>
      <c r="L49" s="427"/>
      <c r="M49" s="468"/>
      <c r="N49" s="340"/>
      <c r="O49" s="427"/>
    </row>
    <row r="50" spans="1:15" s="326" customFormat="1" ht="16.5">
      <c r="A50" s="443">
        <v>510</v>
      </c>
      <c r="B50" s="443">
        <v>430</v>
      </c>
      <c r="C50" s="779">
        <v>52107</v>
      </c>
      <c r="D50" s="326" t="s">
        <v>119</v>
      </c>
      <c r="E50" s="798">
        <v>4735</v>
      </c>
      <c r="F50" s="798">
        <v>714</v>
      </c>
      <c r="G50" s="798">
        <v>2200</v>
      </c>
      <c r="H50" s="798">
        <v>2200</v>
      </c>
      <c r="I50" s="459"/>
      <c r="J50" s="328">
        <f t="shared" si="7"/>
        <v>0</v>
      </c>
      <c r="K50" s="798">
        <f t="shared" si="8"/>
        <v>0</v>
      </c>
      <c r="L50" s="427"/>
      <c r="M50" s="468"/>
      <c r="N50" s="340"/>
      <c r="O50" s="427"/>
    </row>
    <row r="51" spans="1:15" s="326" customFormat="1" ht="16.5">
      <c r="A51" s="443">
        <v>510</v>
      </c>
      <c r="B51" s="443">
        <v>430</v>
      </c>
      <c r="C51" s="779">
        <v>52108</v>
      </c>
      <c r="D51" s="326" t="s">
        <v>37</v>
      </c>
      <c r="E51" s="798">
        <v>0</v>
      </c>
      <c r="F51" s="798">
        <v>0</v>
      </c>
      <c r="G51" s="798">
        <v>550</v>
      </c>
      <c r="H51" s="798">
        <v>550</v>
      </c>
      <c r="I51" s="459"/>
      <c r="J51" s="328">
        <f t="shared" si="7"/>
        <v>0</v>
      </c>
      <c r="K51" s="798">
        <f t="shared" si="8"/>
        <v>0</v>
      </c>
      <c r="L51" s="427"/>
      <c r="M51" s="468"/>
      <c r="N51" s="340"/>
      <c r="O51" s="427"/>
    </row>
    <row r="52" spans="1:15" s="326" customFormat="1" ht="16.5">
      <c r="A52" s="443">
        <v>510</v>
      </c>
      <c r="B52" s="443">
        <v>430</v>
      </c>
      <c r="C52" s="779">
        <v>52109</v>
      </c>
      <c r="D52" s="326" t="s">
        <v>151</v>
      </c>
      <c r="E52" s="798">
        <v>10925</v>
      </c>
      <c r="F52" s="798">
        <v>10437</v>
      </c>
      <c r="G52" s="798">
        <v>8200</v>
      </c>
      <c r="H52" s="798">
        <v>8200</v>
      </c>
      <c r="I52" s="459"/>
      <c r="J52" s="328">
        <f t="shared" si="7"/>
        <v>0</v>
      </c>
      <c r="K52" s="798">
        <f t="shared" si="8"/>
        <v>0</v>
      </c>
      <c r="L52" s="427"/>
      <c r="M52" s="468"/>
      <c r="N52" s="340"/>
      <c r="O52" s="427"/>
    </row>
    <row r="53" spans="1:15" s="326" customFormat="1" ht="16.5">
      <c r="A53" s="443">
        <v>510</v>
      </c>
      <c r="B53" s="443">
        <v>430</v>
      </c>
      <c r="C53" s="779">
        <v>52110</v>
      </c>
      <c r="D53" s="326" t="s">
        <v>41</v>
      </c>
      <c r="E53" s="798">
        <v>1894</v>
      </c>
      <c r="F53" s="798">
        <v>1883</v>
      </c>
      <c r="G53" s="798">
        <v>2500</v>
      </c>
      <c r="H53" s="798">
        <v>2500</v>
      </c>
      <c r="I53" s="459"/>
      <c r="J53" s="328">
        <f t="shared" si="7"/>
        <v>0</v>
      </c>
      <c r="K53" s="798">
        <f t="shared" si="8"/>
        <v>0</v>
      </c>
      <c r="L53" s="427"/>
      <c r="M53" s="468"/>
      <c r="N53" s="340"/>
      <c r="O53" s="427"/>
    </row>
    <row r="54" spans="1:15" s="326" customFormat="1" ht="16.5">
      <c r="A54" s="443">
        <v>510</v>
      </c>
      <c r="B54" s="443">
        <v>430</v>
      </c>
      <c r="C54" s="779">
        <v>52114</v>
      </c>
      <c r="D54" s="326" t="s">
        <v>470</v>
      </c>
      <c r="E54" s="426">
        <v>1166</v>
      </c>
      <c r="F54" s="426">
        <v>2333</v>
      </c>
      <c r="G54" s="426">
        <v>2412</v>
      </c>
      <c r="H54" s="426">
        <f>'CIP_Rec Costs'!E48</f>
        <v>2412</v>
      </c>
      <c r="I54" s="459"/>
      <c r="J54" s="462">
        <f t="shared" si="7"/>
        <v>0</v>
      </c>
      <c r="K54" s="327">
        <f t="shared" si="8"/>
        <v>0</v>
      </c>
      <c r="L54" s="427"/>
      <c r="M54" s="468"/>
      <c r="N54" s="340"/>
      <c r="O54" s="427"/>
    </row>
    <row r="55" spans="1:15" ht="18.75">
      <c r="C55" s="1011"/>
      <c r="D55" s="449" t="s">
        <v>68</v>
      </c>
      <c r="E55" s="298">
        <f>SUM(E31:E54)</f>
        <v>75041</v>
      </c>
      <c r="F55" s="298">
        <f>SUM(F31:F54)</f>
        <v>69840</v>
      </c>
      <c r="G55" s="298">
        <f>SUM(G31:G54)</f>
        <v>99512</v>
      </c>
      <c r="H55" s="298">
        <f>SUM(H31:H54)</f>
        <v>99512</v>
      </c>
      <c r="J55" s="298">
        <f t="shared" ref="J55:K55" si="9">SUM(J31:J54)</f>
        <v>0</v>
      </c>
      <c r="K55" s="298">
        <f t="shared" si="9"/>
        <v>0</v>
      </c>
      <c r="M55" s="467"/>
      <c r="N55" s="332"/>
    </row>
    <row r="56" spans="1:15" ht="15">
      <c r="C56" s="1011"/>
      <c r="E56" s="331"/>
      <c r="F56" s="331"/>
      <c r="H56" s="443"/>
      <c r="I56" s="463"/>
      <c r="M56" s="467"/>
      <c r="N56" s="332"/>
      <c r="O56" s="332"/>
    </row>
    <row r="57" spans="1:15" ht="45.75" customHeight="1">
      <c r="C57" s="1011"/>
      <c r="E57" s="331"/>
      <c r="F57" s="331"/>
      <c r="H57" s="443"/>
      <c r="I57" s="463"/>
      <c r="M57" s="467"/>
      <c r="N57" s="332"/>
      <c r="O57" s="332"/>
    </row>
    <row r="58" spans="1:15" ht="62.25" customHeight="1">
      <c r="C58" s="1011"/>
      <c r="E58" s="331"/>
      <c r="F58" s="331"/>
      <c r="H58" s="443"/>
      <c r="I58" s="463"/>
      <c r="M58" s="467"/>
      <c r="N58" s="332"/>
      <c r="O58" s="332"/>
    </row>
    <row r="59" spans="1:15" ht="15">
      <c r="C59" s="1011"/>
      <c r="E59" s="331"/>
      <c r="F59" s="331"/>
      <c r="H59" s="443"/>
      <c r="I59" s="463"/>
      <c r="M59" s="467"/>
      <c r="N59" s="332"/>
      <c r="O59" s="332"/>
    </row>
    <row r="60" spans="1:15" ht="15.75">
      <c r="C60" s="1011"/>
      <c r="D60" s="464"/>
      <c r="E60" s="465" t="s">
        <v>54</v>
      </c>
      <c r="F60" s="465" t="s">
        <v>54</v>
      </c>
      <c r="G60" s="333" t="s">
        <v>1</v>
      </c>
      <c r="H60" s="333" t="s">
        <v>2</v>
      </c>
      <c r="I60" s="466"/>
      <c r="J60" s="465" t="s">
        <v>56</v>
      </c>
      <c r="K60" s="333" t="s">
        <v>86</v>
      </c>
      <c r="L60" s="342"/>
      <c r="M60" s="467"/>
      <c r="N60" s="342"/>
      <c r="O60" s="342"/>
    </row>
    <row r="61" spans="1:15" ht="15">
      <c r="C61" s="1011"/>
      <c r="D61" s="464"/>
      <c r="E61" s="465"/>
      <c r="F61" s="465"/>
      <c r="G61" s="333" t="s">
        <v>3</v>
      </c>
      <c r="H61" s="333" t="s">
        <v>56</v>
      </c>
      <c r="I61" s="466"/>
      <c r="J61" s="465" t="s">
        <v>44</v>
      </c>
      <c r="K61" s="333" t="s">
        <v>4</v>
      </c>
      <c r="M61" s="467"/>
    </row>
    <row r="62" spans="1:15" ht="15.75">
      <c r="C62" s="1011"/>
      <c r="D62" s="449" t="s">
        <v>121</v>
      </c>
      <c r="E62" s="336" t="str">
        <f>E8</f>
        <v>2019-20</v>
      </c>
      <c r="F62" s="336" t="str">
        <f>F8</f>
        <v>2020-21</v>
      </c>
      <c r="G62" s="336" t="str">
        <f>G8</f>
        <v>2021-22</v>
      </c>
      <c r="H62" s="336" t="str">
        <f>H8</f>
        <v>2022-23</v>
      </c>
      <c r="I62" s="466"/>
      <c r="J62" s="336" t="str">
        <f>J8</f>
        <v>2022-23</v>
      </c>
      <c r="K62" s="336" t="str">
        <f>K8</f>
        <v>2022-23</v>
      </c>
      <c r="L62" s="335"/>
      <c r="M62" s="343"/>
      <c r="N62" s="343"/>
      <c r="O62" s="335"/>
    </row>
    <row r="63" spans="1:15" ht="15.75">
      <c r="C63" s="1011"/>
      <c r="E63" s="331"/>
      <c r="G63" s="443"/>
      <c r="H63" s="443"/>
      <c r="I63" s="463"/>
      <c r="L63" s="335"/>
      <c r="M63" s="343"/>
      <c r="N63" s="343"/>
      <c r="O63" s="335"/>
    </row>
    <row r="64" spans="1:15" ht="18.75">
      <c r="C64" s="1011"/>
      <c r="D64" s="449" t="s">
        <v>69</v>
      </c>
      <c r="E64" s="331"/>
      <c r="G64" s="443"/>
      <c r="H64" s="443"/>
      <c r="L64" s="343"/>
      <c r="M64" s="343"/>
      <c r="N64" s="343"/>
      <c r="O64" s="343"/>
    </row>
    <row r="65" spans="1:15" s="326" customFormat="1" ht="16.5" hidden="1">
      <c r="A65" s="798"/>
      <c r="B65" s="798"/>
      <c r="C65" s="1011"/>
      <c r="D65" s="326" t="s">
        <v>173</v>
      </c>
      <c r="E65" s="353">
        <v>0</v>
      </c>
      <c r="F65" s="353">
        <v>0</v>
      </c>
      <c r="G65" s="353">
        <v>0</v>
      </c>
      <c r="H65" s="353"/>
      <c r="I65" s="459"/>
      <c r="J65" s="328">
        <f t="shared" ref="J65:J68" si="10">IF($M$2="Yes",H65,0)</f>
        <v>0</v>
      </c>
      <c r="K65" s="328">
        <f t="shared" ref="K65:K68" si="11">IF($N$2="Yes",J65,0)</f>
        <v>0</v>
      </c>
      <c r="L65" s="427"/>
      <c r="M65" s="468"/>
      <c r="N65" s="427"/>
      <c r="O65" s="427"/>
    </row>
    <row r="66" spans="1:15" s="326" customFormat="1" ht="16.5">
      <c r="A66" s="443">
        <v>510</v>
      </c>
      <c r="B66" s="443">
        <v>430</v>
      </c>
      <c r="C66" s="1011">
        <v>53002</v>
      </c>
      <c r="D66" s="326" t="s">
        <v>156</v>
      </c>
      <c r="E66" s="353">
        <v>0</v>
      </c>
      <c r="F66" s="353">
        <v>145</v>
      </c>
      <c r="G66" s="353">
        <v>0</v>
      </c>
      <c r="H66" s="1044">
        <v>0</v>
      </c>
      <c r="I66" s="461"/>
      <c r="J66" s="328">
        <f t="shared" si="10"/>
        <v>0</v>
      </c>
      <c r="K66" s="328">
        <f t="shared" si="11"/>
        <v>0</v>
      </c>
      <c r="L66" s="427"/>
      <c r="M66" s="468"/>
      <c r="N66" s="427"/>
      <c r="O66" s="427"/>
    </row>
    <row r="67" spans="1:15" s="326" customFormat="1" ht="16.5" hidden="1">
      <c r="A67" s="443">
        <v>510</v>
      </c>
      <c r="B67" s="443">
        <v>430</v>
      </c>
      <c r="C67" s="1011"/>
      <c r="D67" s="326" t="s">
        <v>122</v>
      </c>
      <c r="E67" s="353">
        <v>0</v>
      </c>
      <c r="F67" s="353">
        <v>0</v>
      </c>
      <c r="G67" s="353">
        <v>0</v>
      </c>
      <c r="H67" s="1044"/>
      <c r="I67" s="461"/>
      <c r="J67" s="328">
        <f t="shared" si="10"/>
        <v>0</v>
      </c>
      <c r="K67" s="328">
        <f t="shared" si="11"/>
        <v>0</v>
      </c>
      <c r="L67" s="340"/>
      <c r="M67" s="468"/>
      <c r="N67" s="340"/>
      <c r="O67" s="340"/>
    </row>
    <row r="68" spans="1:15" s="326" customFormat="1" ht="16.5">
      <c r="A68" s="443">
        <v>510</v>
      </c>
      <c r="B68" s="443">
        <v>430</v>
      </c>
      <c r="C68" s="1011">
        <v>53005</v>
      </c>
      <c r="D68" s="326" t="s">
        <v>172</v>
      </c>
      <c r="E68" s="426">
        <v>117115</v>
      </c>
      <c r="F68" s="426">
        <v>191121</v>
      </c>
      <c r="G68" s="426">
        <v>2500000</v>
      </c>
      <c r="H68" s="1045">
        <v>2500000</v>
      </c>
      <c r="I68" s="459"/>
      <c r="J68" s="462">
        <f t="shared" si="10"/>
        <v>0</v>
      </c>
      <c r="K68" s="462">
        <f t="shared" si="11"/>
        <v>0</v>
      </c>
      <c r="L68" s="427"/>
      <c r="M68" s="468"/>
      <c r="N68" s="340"/>
      <c r="O68" s="427"/>
    </row>
    <row r="69" spans="1:15" ht="15.75">
      <c r="C69" s="1011"/>
      <c r="D69" s="449" t="s">
        <v>55</v>
      </c>
      <c r="E69" s="298">
        <f>SUM(E65:E68)</f>
        <v>117115</v>
      </c>
      <c r="F69" s="298">
        <f t="shared" ref="F69:K69" si="12">SUM(F65:F68)</f>
        <v>191266</v>
      </c>
      <c r="G69" s="298">
        <f t="shared" si="12"/>
        <v>2500000</v>
      </c>
      <c r="H69" s="298">
        <f t="shared" si="12"/>
        <v>2500000</v>
      </c>
      <c r="I69" s="298"/>
      <c r="J69" s="298">
        <f t="shared" si="12"/>
        <v>0</v>
      </c>
      <c r="K69" s="298">
        <f t="shared" si="12"/>
        <v>0</v>
      </c>
      <c r="M69" s="467"/>
    </row>
    <row r="70" spans="1:15">
      <c r="C70" s="1011"/>
      <c r="E70" s="331"/>
      <c r="G70" s="443"/>
      <c r="H70" s="443"/>
      <c r="I70" s="447" t="s">
        <v>5</v>
      </c>
      <c r="J70" s="331"/>
      <c r="L70" s="332"/>
      <c r="M70" s="467"/>
      <c r="N70" s="332"/>
    </row>
    <row r="71" spans="1:15" s="326" customFormat="1" ht="15.75">
      <c r="A71" s="798"/>
      <c r="B71" s="798"/>
      <c r="C71" s="1011"/>
      <c r="D71" s="449" t="s">
        <v>123</v>
      </c>
      <c r="E71" s="344"/>
      <c r="F71" s="353"/>
      <c r="G71" s="353"/>
      <c r="H71" s="353"/>
      <c r="I71" s="353"/>
      <c r="J71" s="353"/>
      <c r="K71" s="353"/>
    </row>
    <row r="72" spans="1:15" s="326" customFormat="1" ht="16.5" hidden="1">
      <c r="A72" s="443">
        <v>510</v>
      </c>
      <c r="B72" s="443">
        <v>430</v>
      </c>
      <c r="C72" s="1011">
        <v>54003</v>
      </c>
      <c r="D72" s="326" t="s">
        <v>124</v>
      </c>
      <c r="E72" s="345">
        <v>0</v>
      </c>
      <c r="F72" s="345">
        <v>0</v>
      </c>
      <c r="G72" s="345">
        <v>0</v>
      </c>
      <c r="H72" s="345">
        <v>0</v>
      </c>
      <c r="I72" s="461"/>
      <c r="J72" s="328">
        <f t="shared" ref="J72:J73" si="13">IF($M$2="Yes",H72,0)</f>
        <v>0</v>
      </c>
      <c r="K72" s="328">
        <f t="shared" ref="K72:K73" si="14">IF($N$2="Yes",J72,0)</f>
        <v>0</v>
      </c>
      <c r="L72" s="798" t="s">
        <v>449</v>
      </c>
    </row>
    <row r="73" spans="1:15" s="326" customFormat="1" ht="16.5">
      <c r="A73" s="443">
        <v>510</v>
      </c>
      <c r="B73" s="443">
        <v>430</v>
      </c>
      <c r="C73" s="1011">
        <v>54004</v>
      </c>
      <c r="D73" s="326" t="s">
        <v>297</v>
      </c>
      <c r="E73" s="346">
        <v>2055</v>
      </c>
      <c r="F73" s="346">
        <v>22714</v>
      </c>
      <c r="G73" s="346">
        <v>30000</v>
      </c>
      <c r="H73" s="346">
        <v>30000</v>
      </c>
      <c r="I73" s="461"/>
      <c r="J73" s="462">
        <f t="shared" si="13"/>
        <v>0</v>
      </c>
      <c r="K73" s="462">
        <f t="shared" si="14"/>
        <v>0</v>
      </c>
    </row>
    <row r="74" spans="1:15" s="449" customFormat="1" ht="18.75">
      <c r="C74" s="1011"/>
      <c r="D74" s="449" t="s">
        <v>125</v>
      </c>
      <c r="E74" s="239">
        <f>SUM(E72:E73)</f>
        <v>2055</v>
      </c>
      <c r="F74" s="750">
        <f>SUM(F72:F73)</f>
        <v>22714</v>
      </c>
      <c r="G74" s="239">
        <f>SUM(G72:G73)</f>
        <v>30000</v>
      </c>
      <c r="H74" s="239">
        <f>SUM(H72:H73)</f>
        <v>30000</v>
      </c>
      <c r="I74" s="469"/>
      <c r="J74" s="239">
        <f>SUM(J72:J73)</f>
        <v>0</v>
      </c>
      <c r="K74" s="239">
        <f>SUM(K72:K73)</f>
        <v>0</v>
      </c>
    </row>
    <row r="75" spans="1:15" s="470" customFormat="1" ht="15.75">
      <c r="C75" s="1011"/>
      <c r="D75" s="449"/>
      <c r="E75" s="347"/>
      <c r="F75" s="347"/>
      <c r="G75" s="347"/>
      <c r="H75" s="347"/>
      <c r="I75" s="347"/>
      <c r="J75" s="347"/>
      <c r="K75" s="347"/>
    </row>
    <row r="76" spans="1:15" ht="18.75">
      <c r="C76" s="1011"/>
      <c r="D76" s="449" t="s">
        <v>134</v>
      </c>
      <c r="E76" s="298"/>
      <c r="F76" s="449"/>
      <c r="G76" s="449"/>
      <c r="H76" s="449"/>
      <c r="I76" s="471"/>
      <c r="J76" s="298"/>
      <c r="K76" s="449"/>
    </row>
    <row r="77" spans="1:15" s="473" customFormat="1" ht="15.75">
      <c r="A77" s="443">
        <v>510</v>
      </c>
      <c r="B77" s="443">
        <v>430</v>
      </c>
      <c r="C77" s="1011"/>
      <c r="D77" s="326" t="s">
        <v>135</v>
      </c>
      <c r="L77" s="472"/>
      <c r="M77" s="472"/>
      <c r="N77" s="472"/>
      <c r="O77" s="472"/>
    </row>
    <row r="78" spans="1:15" s="473" customFormat="1" ht="17.25" hidden="1">
      <c r="A78" s="443">
        <v>510</v>
      </c>
      <c r="B78" s="443">
        <v>430</v>
      </c>
      <c r="C78" s="1011"/>
      <c r="D78" s="326" t="s">
        <v>371</v>
      </c>
      <c r="E78" s="789">
        <v>0</v>
      </c>
      <c r="F78" s="789">
        <v>0</v>
      </c>
      <c r="G78" s="789">
        <v>0</v>
      </c>
      <c r="H78" s="789">
        <v>0</v>
      </c>
      <c r="I78" s="634"/>
      <c r="J78" s="151">
        <f>IF($M$2="Yes",H78,0)</f>
        <v>0</v>
      </c>
      <c r="K78" s="151">
        <f>IF($N$2="Yes",J78,0)</f>
        <v>0</v>
      </c>
      <c r="L78" s="472"/>
      <c r="M78" s="472"/>
      <c r="N78" s="472"/>
      <c r="O78" s="472"/>
    </row>
    <row r="79" spans="1:15" s="473" customFormat="1" ht="17.25" hidden="1">
      <c r="A79" s="443">
        <v>510</v>
      </c>
      <c r="B79" s="443">
        <v>430</v>
      </c>
      <c r="C79" s="1011"/>
      <c r="D79" s="326" t="s">
        <v>173</v>
      </c>
      <c r="E79" s="789"/>
      <c r="F79" s="789"/>
      <c r="G79" s="789"/>
      <c r="H79" s="789"/>
      <c r="I79" s="634"/>
      <c r="J79" s="151"/>
      <c r="K79" s="151"/>
      <c r="L79" s="472"/>
      <c r="M79" s="472"/>
      <c r="N79" s="472"/>
      <c r="O79" s="472"/>
    </row>
    <row r="80" spans="1:15" s="473" customFormat="1" ht="17.25" hidden="1">
      <c r="A80" s="443">
        <v>510</v>
      </c>
      <c r="B80" s="443">
        <v>430</v>
      </c>
      <c r="C80" s="1011"/>
      <c r="D80" s="326"/>
      <c r="E80" s="789"/>
      <c r="F80" s="789"/>
      <c r="G80" s="789"/>
      <c r="H80" s="789"/>
      <c r="I80" s="634"/>
      <c r="J80" s="151"/>
      <c r="K80" s="151"/>
      <c r="L80" s="472"/>
      <c r="M80" s="472"/>
      <c r="N80" s="472"/>
      <c r="O80" s="472"/>
    </row>
    <row r="81" spans="1:19" s="326" customFormat="1" ht="16.5">
      <c r="A81" s="443">
        <v>510</v>
      </c>
      <c r="B81" s="443">
        <v>430</v>
      </c>
      <c r="C81" s="1011">
        <v>55600</v>
      </c>
      <c r="D81" s="326" t="s">
        <v>156</v>
      </c>
      <c r="E81" s="790">
        <v>400</v>
      </c>
      <c r="F81" s="790">
        <v>400</v>
      </c>
      <c r="G81" s="790">
        <v>400</v>
      </c>
      <c r="H81" s="790">
        <v>1000</v>
      </c>
      <c r="I81" s="495"/>
      <c r="J81" s="156">
        <f t="shared" ref="J81" si="15">IF($M$2="Yes",H81,0)</f>
        <v>0</v>
      </c>
      <c r="K81" s="156">
        <f t="shared" ref="K81" si="16">IF($N$2="Yes",J81,0)</f>
        <v>0</v>
      </c>
      <c r="L81" s="427"/>
      <c r="M81" s="427"/>
      <c r="N81" s="427"/>
      <c r="O81" s="427"/>
    </row>
    <row r="82" spans="1:19" s="449" customFormat="1" ht="15.75">
      <c r="C82" s="1011"/>
      <c r="D82" s="449" t="s">
        <v>136</v>
      </c>
      <c r="E82" s="51">
        <f t="shared" ref="E82:G82" si="17">SUM(E78:E81)</f>
        <v>400</v>
      </c>
      <c r="F82" s="784">
        <f t="shared" si="17"/>
        <v>400</v>
      </c>
      <c r="G82" s="784">
        <f t="shared" si="17"/>
        <v>400</v>
      </c>
      <c r="H82" s="51">
        <f>SUM(H78:H81)</f>
        <v>1000</v>
      </c>
      <c r="I82" s="556"/>
      <c r="J82" s="51">
        <f t="shared" ref="J82:K82" si="18">SUM(J78:J81)</f>
        <v>0</v>
      </c>
      <c r="K82" s="51">
        <f t="shared" si="18"/>
        <v>0</v>
      </c>
      <c r="L82" s="474"/>
      <c r="M82" s="474"/>
      <c r="N82" s="474"/>
      <c r="O82" s="474"/>
    </row>
    <row r="83" spans="1:19" s="449" customFormat="1" ht="16.5" thickBot="1">
      <c r="C83" s="1011"/>
      <c r="E83" s="350"/>
      <c r="F83" s="350"/>
      <c r="G83" s="350"/>
      <c r="H83" s="350"/>
      <c r="I83" s="331"/>
      <c r="J83" s="350"/>
      <c r="K83" s="350"/>
      <c r="L83" s="474"/>
      <c r="M83" s="474"/>
      <c r="N83" s="474"/>
      <c r="O83" s="474"/>
    </row>
    <row r="84" spans="1:19" s="449" customFormat="1" ht="16.5" thickTop="1">
      <c r="C84" s="1011"/>
      <c r="D84" s="458" t="s">
        <v>28</v>
      </c>
      <c r="E84" s="298">
        <f>SUM(E82+E74+E69+E55+E28)</f>
        <v>295209</v>
      </c>
      <c r="F84" s="298">
        <f>SUM(F82+F74+F69+F55+F28)</f>
        <v>391386</v>
      </c>
      <c r="G84" s="298">
        <f>SUM(G28+G55+G69+G74+G82)</f>
        <v>2740628.8757654931</v>
      </c>
      <c r="H84" s="298">
        <f>SUM(H28+H55+H69+H74+H82)</f>
        <v>2754464.8150852467</v>
      </c>
      <c r="I84" s="298"/>
      <c r="J84" s="298">
        <f t="shared" ref="J84:K84" si="19">SUM(J28+J55+J69+J74+J82)</f>
        <v>0</v>
      </c>
      <c r="K84" s="298">
        <f t="shared" si="19"/>
        <v>0</v>
      </c>
      <c r="L84" s="474"/>
      <c r="M84" s="474"/>
      <c r="N84" s="474"/>
      <c r="O84" s="474"/>
    </row>
    <row r="85" spans="1:19" ht="18.75">
      <c r="C85" s="1011"/>
      <c r="E85" s="331"/>
      <c r="G85" s="443"/>
      <c r="H85" s="443"/>
      <c r="J85" s="331"/>
      <c r="L85" s="342"/>
      <c r="M85" s="446"/>
      <c r="N85" s="342"/>
      <c r="O85" s="342"/>
    </row>
    <row r="86" spans="1:19" s="326" customFormat="1" ht="15.75" hidden="1">
      <c r="A86" s="798"/>
      <c r="B86" s="798"/>
      <c r="C86" s="1011"/>
      <c r="D86" s="449" t="s">
        <v>364</v>
      </c>
      <c r="E86" s="344"/>
      <c r="F86" s="353"/>
      <c r="G86" s="353"/>
      <c r="H86" s="353"/>
      <c r="I86" s="353"/>
      <c r="J86" s="353"/>
      <c r="K86" s="353"/>
    </row>
    <row r="87" spans="1:19" s="205" customFormat="1" ht="15" hidden="1">
      <c r="A87" s="792"/>
      <c r="B87" s="792"/>
      <c r="C87" s="1011"/>
      <c r="D87" s="205" t="s">
        <v>373</v>
      </c>
      <c r="E87" s="328">
        <v>0</v>
      </c>
      <c r="F87" s="328">
        <v>0</v>
      </c>
      <c r="G87" s="328">
        <v>0</v>
      </c>
      <c r="H87" s="328">
        <v>0</v>
      </c>
      <c r="I87" s="353"/>
      <c r="J87" s="353">
        <f t="shared" ref="J87:J91" si="20">IF($M$2="Yes",H87,0)</f>
        <v>0</v>
      </c>
      <c r="K87" s="353">
        <f t="shared" ref="K87:K91" si="21">IF($N$2="Yes",J87,0)</f>
        <v>0</v>
      </c>
    </row>
    <row r="88" spans="1:19" s="326" customFormat="1" ht="16.5" hidden="1">
      <c r="A88" s="798"/>
      <c r="B88" s="798"/>
      <c r="C88" s="1011"/>
      <c r="D88" s="326" t="s">
        <v>173</v>
      </c>
      <c r="E88" s="328">
        <v>0</v>
      </c>
      <c r="F88" s="328">
        <v>0</v>
      </c>
      <c r="G88" s="328">
        <v>0</v>
      </c>
      <c r="H88" s="328">
        <v>0</v>
      </c>
      <c r="I88" s="461">
        <v>4</v>
      </c>
      <c r="J88" s="328">
        <f t="shared" si="20"/>
        <v>0</v>
      </c>
      <c r="K88" s="353">
        <f t="shared" si="21"/>
        <v>0</v>
      </c>
    </row>
    <row r="89" spans="1:19" s="326" customFormat="1" ht="16.5" hidden="1">
      <c r="A89" s="798"/>
      <c r="B89" s="798"/>
      <c r="C89" s="1011"/>
      <c r="D89" s="326" t="s">
        <v>156</v>
      </c>
      <c r="E89" s="328">
        <v>0</v>
      </c>
      <c r="F89" s="798">
        <v>0</v>
      </c>
      <c r="G89" s="798">
        <v>0</v>
      </c>
      <c r="H89" s="326">
        <v>0</v>
      </c>
      <c r="I89" s="461"/>
      <c r="J89" s="328">
        <f t="shared" si="20"/>
        <v>0</v>
      </c>
      <c r="K89" s="353">
        <f t="shared" si="21"/>
        <v>0</v>
      </c>
    </row>
    <row r="90" spans="1:19" s="326" customFormat="1" ht="16.5" hidden="1">
      <c r="A90" s="798"/>
      <c r="B90" s="798"/>
      <c r="C90" s="1011"/>
      <c r="D90" s="326" t="s">
        <v>122</v>
      </c>
      <c r="E90" s="328">
        <v>0</v>
      </c>
      <c r="F90" s="798">
        <v>0</v>
      </c>
      <c r="G90" s="798">
        <v>0</v>
      </c>
      <c r="H90" s="326">
        <v>0</v>
      </c>
      <c r="I90" s="461"/>
      <c r="J90" s="328">
        <f t="shared" si="20"/>
        <v>0</v>
      </c>
      <c r="K90" s="353">
        <f t="shared" si="21"/>
        <v>0</v>
      </c>
    </row>
    <row r="91" spans="1:19" s="326" customFormat="1" ht="16.5" hidden="1">
      <c r="A91" s="798"/>
      <c r="B91" s="798"/>
      <c r="C91" s="1011"/>
      <c r="D91" s="326" t="s">
        <v>172</v>
      </c>
      <c r="E91" s="462">
        <v>0</v>
      </c>
      <c r="F91" s="462"/>
      <c r="G91" s="462">
        <v>0</v>
      </c>
      <c r="H91" s="462">
        <v>0</v>
      </c>
      <c r="I91" s="461"/>
      <c r="J91" s="462">
        <f t="shared" si="20"/>
        <v>0</v>
      </c>
      <c r="K91" s="475">
        <f t="shared" si="21"/>
        <v>0</v>
      </c>
    </row>
    <row r="92" spans="1:19" s="470" customFormat="1" ht="15.75" hidden="1">
      <c r="C92" s="1011"/>
      <c r="D92" s="449" t="s">
        <v>358</v>
      </c>
      <c r="E92" s="347">
        <f>SUM(E88:E91)</f>
        <v>0</v>
      </c>
      <c r="F92" s="347">
        <f>SUM(F88:F91)</f>
        <v>0</v>
      </c>
      <c r="G92" s="347">
        <f>SUM(G88:G91)</f>
        <v>0</v>
      </c>
      <c r="H92" s="347">
        <f>SUM(H87:H91)</f>
        <v>0</v>
      </c>
      <c r="I92" s="347"/>
      <c r="J92" s="347">
        <f>SUM(J88:J91)</f>
        <v>0</v>
      </c>
      <c r="K92" s="347">
        <f>SUM(K88:K91)</f>
        <v>0</v>
      </c>
    </row>
    <row r="93" spans="1:19" s="470" customFormat="1" ht="15.75" hidden="1">
      <c r="C93" s="1011"/>
      <c r="D93" s="449"/>
      <c r="E93" s="347"/>
      <c r="F93" s="347"/>
      <c r="G93" s="347"/>
      <c r="H93" s="347"/>
      <c r="I93" s="347"/>
      <c r="J93" s="347"/>
      <c r="K93" s="347"/>
    </row>
    <row r="94" spans="1:19" ht="19.5" thickBot="1">
      <c r="A94" s="779">
        <v>510</v>
      </c>
      <c r="B94" s="779">
        <v>998</v>
      </c>
      <c r="C94" s="779">
        <v>58000</v>
      </c>
      <c r="D94" s="476" t="s">
        <v>245</v>
      </c>
      <c r="E94" s="351">
        <v>0</v>
      </c>
      <c r="F94" s="477">
        <v>0</v>
      </c>
      <c r="G94" s="477">
        <v>150000</v>
      </c>
      <c r="H94" s="477">
        <v>150000</v>
      </c>
      <c r="J94" s="351">
        <f>IF($M$2="Yes",H94,0)</f>
        <v>0</v>
      </c>
      <c r="K94" s="477">
        <f>IF($N$2="Yes",J94,0)</f>
        <v>0</v>
      </c>
      <c r="M94" s="445"/>
      <c r="N94" s="332"/>
    </row>
    <row r="95" spans="1:19" ht="19.5" thickTop="1">
      <c r="A95" s="779"/>
      <c r="B95" s="779"/>
      <c r="C95" s="779"/>
      <c r="D95" s="449" t="s">
        <v>361</v>
      </c>
      <c r="E95" s="298">
        <f>SUM(+E92+E84)</f>
        <v>295209</v>
      </c>
      <c r="F95" s="298">
        <f>SUM(+F92+F84)</f>
        <v>391386</v>
      </c>
      <c r="G95" s="298">
        <f>SUM(G84+G92+G94)</f>
        <v>2890628.8757654931</v>
      </c>
      <c r="H95" s="298">
        <f>SUM(H84+H92+H94)</f>
        <v>2904464.8150852467</v>
      </c>
      <c r="I95" s="478"/>
      <c r="J95" s="298">
        <f t="shared" ref="J95:K95" si="22">SUM(J84+J92+J94)</f>
        <v>0</v>
      </c>
      <c r="K95" s="298">
        <f t="shared" si="22"/>
        <v>0</v>
      </c>
      <c r="L95" s="332"/>
      <c r="M95" s="342"/>
      <c r="N95" s="332"/>
      <c r="O95" s="332"/>
      <c r="P95" s="444"/>
      <c r="Q95" s="444"/>
      <c r="R95" s="444"/>
      <c r="S95" s="444"/>
    </row>
    <row r="96" spans="1:19">
      <c r="A96" s="779"/>
      <c r="B96" s="779"/>
      <c r="C96" s="779"/>
      <c r="E96" s="331"/>
      <c r="G96" s="443"/>
      <c r="H96" s="443"/>
      <c r="J96" s="331"/>
      <c r="M96" s="445"/>
      <c r="N96" s="332"/>
    </row>
    <row r="97" spans="1:14" ht="19.5" thickBot="1">
      <c r="A97" s="779">
        <v>510</v>
      </c>
      <c r="B97" s="779">
        <v>999</v>
      </c>
      <c r="C97" s="779">
        <v>59000</v>
      </c>
      <c r="D97" s="449" t="s">
        <v>401</v>
      </c>
      <c r="E97" s="331">
        <v>127659</v>
      </c>
      <c r="F97" s="443">
        <f>F21-F95</f>
        <v>177250</v>
      </c>
      <c r="G97" s="443">
        <v>50371</v>
      </c>
      <c r="H97" s="443">
        <f>H21-H95</f>
        <v>36535.184914753307</v>
      </c>
      <c r="J97" s="331">
        <f>IF($M$2="Yes",H97,0)</f>
        <v>0</v>
      </c>
      <c r="K97" s="443">
        <f>IF($N$2="Yes",J97,0)</f>
        <v>0</v>
      </c>
      <c r="M97" s="445"/>
      <c r="N97" s="332"/>
    </row>
    <row r="98" spans="1:14" ht="19.5" thickTop="1">
      <c r="C98" s="1011"/>
      <c r="D98" s="449" t="s">
        <v>359</v>
      </c>
      <c r="E98" s="370">
        <f>SUM(E84+E92+E94+E97)</f>
        <v>422868</v>
      </c>
      <c r="F98" s="370">
        <f t="shared" ref="F98:H98" si="23">SUM(F84+F92+F94+F97)</f>
        <v>568636</v>
      </c>
      <c r="G98" s="370">
        <f t="shared" si="23"/>
        <v>2940999.8757654931</v>
      </c>
      <c r="H98" s="370">
        <f t="shared" si="23"/>
        <v>2941000</v>
      </c>
      <c r="J98" s="370">
        <f t="shared" ref="J98:K98" si="24">SUM(J84+J92+J94+J97)</f>
        <v>0</v>
      </c>
      <c r="K98" s="370">
        <f t="shared" si="24"/>
        <v>0</v>
      </c>
      <c r="M98" s="445"/>
      <c r="N98" s="332"/>
    </row>
    <row r="99" spans="1:14" ht="18.75">
      <c r="C99" s="1011"/>
      <c r="D99" s="449"/>
      <c r="G99" s="443"/>
      <c r="H99" s="443">
        <f>H21-H98</f>
        <v>0</v>
      </c>
      <c r="J99" s="342"/>
      <c r="K99" s="342"/>
      <c r="M99" s="445"/>
      <c r="N99" s="332"/>
    </row>
    <row r="100" spans="1:14" ht="47.25" customHeight="1">
      <c r="C100" s="1011"/>
      <c r="D100" s="1089"/>
      <c r="E100" s="1089"/>
      <c r="F100" s="1089"/>
      <c r="G100" s="1089"/>
      <c r="H100" s="1089"/>
      <c r="I100" s="1089"/>
      <c r="J100" s="1089"/>
      <c r="K100" s="1089"/>
      <c r="M100" s="445"/>
      <c r="N100" s="332"/>
    </row>
    <row r="101" spans="1:14">
      <c r="C101" s="1011"/>
      <c r="D101" s="1090"/>
      <c r="E101" s="1090"/>
      <c r="F101" s="1090"/>
      <c r="G101" s="1090"/>
      <c r="H101" s="1090"/>
      <c r="I101" s="1090"/>
      <c r="J101" s="1090"/>
      <c r="K101" s="1090"/>
      <c r="M101" s="445"/>
      <c r="N101" s="332"/>
    </row>
    <row r="102" spans="1:14">
      <c r="C102" s="1011"/>
      <c r="D102" s="479"/>
      <c r="E102" s="479"/>
      <c r="F102" s="987"/>
      <c r="G102" s="479">
        <f>G98-G21</f>
        <v>-0.1242345068603754</v>
      </c>
      <c r="H102" s="479"/>
      <c r="I102" s="479"/>
      <c r="J102" s="479"/>
      <c r="K102" s="479"/>
      <c r="M102" s="445"/>
      <c r="N102" s="332"/>
    </row>
    <row r="103" spans="1:14">
      <c r="C103" s="1011"/>
      <c r="D103" s="479"/>
      <c r="E103" s="479"/>
      <c r="F103" s="987"/>
      <c r="G103" s="479"/>
      <c r="H103" s="479"/>
      <c r="I103" s="479"/>
      <c r="J103" s="479"/>
      <c r="K103" s="479"/>
      <c r="M103" s="445"/>
      <c r="N103" s="332"/>
    </row>
    <row r="104" spans="1:14">
      <c r="C104" s="1011"/>
      <c r="D104" s="1088"/>
      <c r="E104" s="1088"/>
      <c r="F104" s="1088"/>
      <c r="G104" s="1088"/>
      <c r="H104" s="1088"/>
      <c r="I104" s="1088"/>
      <c r="J104" s="1088"/>
      <c r="K104" s="1088"/>
      <c r="M104" s="445"/>
      <c r="N104" s="332"/>
    </row>
    <row r="105" spans="1:14">
      <c r="C105" s="1011"/>
      <c r="D105" s="1088"/>
      <c r="E105" s="1088"/>
      <c r="F105" s="1088"/>
      <c r="G105" s="1088"/>
      <c r="H105" s="1088"/>
      <c r="I105" s="1088"/>
      <c r="J105" s="1088"/>
      <c r="K105" s="1088"/>
      <c r="M105" s="445"/>
      <c r="N105" s="332"/>
    </row>
    <row r="106" spans="1:14">
      <c r="C106" s="1011"/>
      <c r="D106" s="480"/>
      <c r="E106" s="480"/>
      <c r="F106" s="986"/>
      <c r="G106" s="480"/>
      <c r="H106" s="480"/>
      <c r="I106" s="480"/>
      <c r="J106" s="480"/>
      <c r="K106" s="480"/>
      <c r="M106" s="445"/>
      <c r="N106" s="332"/>
    </row>
    <row r="107" spans="1:14">
      <c r="C107" s="1011"/>
      <c r="E107" s="331"/>
      <c r="F107" s="331"/>
    </row>
    <row r="108" spans="1:14">
      <c r="C108" s="1011"/>
      <c r="E108" s="331"/>
      <c r="F108" s="331"/>
    </row>
    <row r="109" spans="1:14">
      <c r="C109" s="1011"/>
      <c r="E109" s="331"/>
      <c r="F109" s="331"/>
    </row>
    <row r="110" spans="1:14">
      <c r="C110" s="1011"/>
      <c r="E110" s="331"/>
      <c r="F110" s="331"/>
    </row>
    <row r="111" spans="1:14">
      <c r="C111" s="1011"/>
      <c r="E111" s="331"/>
      <c r="F111" s="331"/>
    </row>
    <row r="112" spans="1:14">
      <c r="C112" s="1011"/>
      <c r="E112" s="331"/>
      <c r="F112" s="331"/>
    </row>
    <row r="113" spans="3:11">
      <c r="C113" s="1011"/>
      <c r="E113" s="331"/>
      <c r="F113" s="331"/>
    </row>
    <row r="114" spans="3:11">
      <c r="C114" s="1011"/>
      <c r="E114" s="331"/>
      <c r="F114" s="331"/>
    </row>
    <row r="115" spans="3:11">
      <c r="C115" s="1011"/>
      <c r="E115" s="331"/>
      <c r="F115" s="331"/>
    </row>
    <row r="116" spans="3:11">
      <c r="C116" s="1011"/>
      <c r="E116" s="331"/>
      <c r="F116" s="331"/>
    </row>
    <row r="117" spans="3:11">
      <c r="C117" s="1011"/>
      <c r="E117" s="331"/>
      <c r="F117" s="331"/>
    </row>
    <row r="118" spans="3:11">
      <c r="C118" s="1011"/>
      <c r="E118" s="331"/>
      <c r="F118" s="331"/>
    </row>
    <row r="119" spans="3:11">
      <c r="K119" s="331"/>
    </row>
    <row r="120" spans="3:11">
      <c r="E120" s="331"/>
      <c r="F120" s="331"/>
    </row>
    <row r="121" spans="3:11">
      <c r="E121" s="331"/>
      <c r="F121" s="331"/>
    </row>
    <row r="122" spans="3:11">
      <c r="E122" s="331"/>
      <c r="F122" s="331"/>
    </row>
    <row r="123" spans="3:11">
      <c r="E123" s="331"/>
      <c r="F123" s="331"/>
    </row>
    <row r="124" spans="3:11">
      <c r="E124" s="331"/>
      <c r="F124" s="331"/>
    </row>
  </sheetData>
  <sortState ref="A31:K54">
    <sortCondition ref="C31:C54"/>
  </sortState>
  <mergeCells count="7">
    <mergeCell ref="D2:K2"/>
    <mergeCell ref="D4:K4"/>
    <mergeCell ref="D1:K1"/>
    <mergeCell ref="D105:K105"/>
    <mergeCell ref="D100:K100"/>
    <mergeCell ref="D104:K104"/>
    <mergeCell ref="D101:K101"/>
  </mergeCells>
  <phoneticPr fontId="0" type="noConversion"/>
  <printOptions horizontalCentered="1"/>
  <pageMargins left="0.7" right="0.7" top="0.75" bottom="1" header="0.3" footer="0.55000000000000004"/>
  <pageSetup scale="69" fitToHeight="2" orientation="portrait" horizontalDpi="4294967293" r:id="rId1"/>
  <headerFooter>
    <oddHeader>&amp;C&amp;A</oddHeader>
    <oddFooter>&amp;C&amp;F</oddFooter>
  </headerFooter>
  <rowBreaks count="1" manualBreakCount="1">
    <brk id="55" min="3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2"/>
  <sheetViews>
    <sheetView zoomScale="75" zoomScaleNormal="75" zoomScalePageLayoutView="75" workbookViewId="0">
      <selection activeCell="H8" sqref="H8"/>
    </sheetView>
  </sheetViews>
  <sheetFormatPr defaultColWidth="14.7109375" defaultRowHeight="15"/>
  <cols>
    <col min="1" max="3" width="10.7109375" style="1011" customWidth="1"/>
    <col min="4" max="4" width="38.28515625" style="205" customWidth="1"/>
    <col min="5" max="7" width="14" style="205" customWidth="1"/>
    <col min="8" max="8" width="14" style="40" customWidth="1"/>
    <col min="9" max="9" width="2.28515625" style="205" customWidth="1"/>
    <col min="10" max="11" width="14" style="205" customWidth="1"/>
    <col min="12" max="16384" width="14.7109375" style="205"/>
  </cols>
  <sheetData>
    <row r="1" spans="1:14" ht="15.75">
      <c r="D1" s="1092" t="s">
        <v>0</v>
      </c>
      <c r="E1" s="1092"/>
      <c r="F1" s="1092"/>
      <c r="G1" s="1092"/>
      <c r="H1" s="1092"/>
      <c r="I1" s="1092"/>
      <c r="J1" s="1092"/>
      <c r="K1" s="1092"/>
      <c r="M1" s="205" t="s">
        <v>381</v>
      </c>
      <c r="N1" s="205" t="s">
        <v>382</v>
      </c>
    </row>
    <row r="2" spans="1:14" ht="15.75">
      <c r="D2" s="1084" t="str">
        <f>SDC!D2</f>
        <v>FISCAL YEAR 2022-2023</v>
      </c>
      <c r="E2" s="1084"/>
      <c r="F2" s="1084"/>
      <c r="G2" s="1084"/>
      <c r="H2" s="1084"/>
      <c r="I2" s="1084"/>
      <c r="J2" s="1084"/>
      <c r="K2" s="1084"/>
      <c r="M2" s="792" t="s">
        <v>568</v>
      </c>
      <c r="N2" s="780" t="s">
        <v>568</v>
      </c>
    </row>
    <row r="3" spans="1:14" ht="16.5">
      <c r="D3" s="662"/>
      <c r="E3" s="662"/>
      <c r="F3" s="662"/>
      <c r="G3" s="662"/>
      <c r="H3" s="662"/>
      <c r="I3" s="663"/>
      <c r="J3" s="662"/>
      <c r="K3" s="662"/>
    </row>
    <row r="4" spans="1:14" ht="15.75">
      <c r="D4" s="1091" t="s">
        <v>305</v>
      </c>
      <c r="E4" s="1091"/>
      <c r="F4" s="1091"/>
      <c r="G4" s="1091"/>
      <c r="H4" s="1091"/>
      <c r="I4" s="1091"/>
      <c r="J4" s="1091"/>
      <c r="K4" s="1091"/>
    </row>
    <row r="5" spans="1:14" ht="16.5">
      <c r="D5" s="662"/>
      <c r="E5" s="662"/>
      <c r="F5" s="662"/>
      <c r="G5" s="662"/>
      <c r="H5" s="662"/>
      <c r="I5" s="663"/>
      <c r="J5" s="662"/>
      <c r="K5" s="662"/>
      <c r="M5" s="939"/>
    </row>
    <row r="6" spans="1:14" ht="17.25">
      <c r="D6" s="434"/>
      <c r="E6" s="664" t="s">
        <v>54</v>
      </c>
      <c r="F6" s="664" t="s">
        <v>54</v>
      </c>
      <c r="G6" s="665" t="s">
        <v>1</v>
      </c>
      <c r="H6" s="665" t="s">
        <v>2</v>
      </c>
      <c r="I6" s="666"/>
      <c r="J6" s="664" t="s">
        <v>376</v>
      </c>
      <c r="K6" s="665" t="s">
        <v>377</v>
      </c>
    </row>
    <row r="7" spans="1:14" ht="17.25">
      <c r="D7" s="434"/>
      <c r="E7" s="664"/>
      <c r="F7" s="664"/>
      <c r="G7" s="665" t="s">
        <v>3</v>
      </c>
      <c r="H7" s="665" t="s">
        <v>56</v>
      </c>
      <c r="I7" s="666"/>
      <c r="J7" s="664" t="s">
        <v>56</v>
      </c>
      <c r="K7" s="665" t="s">
        <v>56</v>
      </c>
    </row>
    <row r="8" spans="1:14" ht="17.25">
      <c r="D8" s="434"/>
      <c r="E8" s="824" t="s">
        <v>330</v>
      </c>
      <c r="F8" s="824" t="s">
        <v>366</v>
      </c>
      <c r="G8" s="824" t="s">
        <v>472</v>
      </c>
      <c r="H8" s="1046" t="s">
        <v>473</v>
      </c>
      <c r="I8" s="668"/>
      <c r="J8" s="667" t="str">
        <f>H8</f>
        <v>2022-23</v>
      </c>
      <c r="K8" s="667" t="str">
        <f>J8</f>
        <v>2022-23</v>
      </c>
    </row>
    <row r="9" spans="1:14" ht="15.75">
      <c r="D9" s="632" t="s">
        <v>403</v>
      </c>
      <c r="E9" s="669"/>
      <c r="F9" s="669"/>
      <c r="G9" s="670"/>
      <c r="H9" s="671"/>
      <c r="I9" s="672"/>
      <c r="J9" s="672"/>
      <c r="K9" s="672"/>
    </row>
    <row r="10" spans="1:14" ht="15.75">
      <c r="A10" s="1011">
        <v>520</v>
      </c>
      <c r="B10" s="1011">
        <v>0</v>
      </c>
      <c r="C10" s="1011">
        <v>40000</v>
      </c>
      <c r="D10" s="205" t="s">
        <v>6</v>
      </c>
      <c r="E10" s="497">
        <v>4990</v>
      </c>
      <c r="F10" s="497">
        <f>E65</f>
        <v>11086</v>
      </c>
      <c r="G10" s="809">
        <v>17000</v>
      </c>
      <c r="H10" s="809">
        <v>17000</v>
      </c>
      <c r="I10" s="213"/>
      <c r="J10" s="151">
        <f>IF($M$2="Yes",H10,0)</f>
        <v>0</v>
      </c>
      <c r="K10" s="151">
        <f>IF($N$2="Yes",J10,0)</f>
        <v>0</v>
      </c>
      <c r="L10" s="109"/>
    </row>
    <row r="11" spans="1:14">
      <c r="A11" s="1011">
        <v>520</v>
      </c>
      <c r="B11" s="1011">
        <v>0</v>
      </c>
      <c r="C11" s="1011">
        <v>42040</v>
      </c>
      <c r="D11" s="205" t="s">
        <v>178</v>
      </c>
      <c r="E11" s="793">
        <v>32042</v>
      </c>
      <c r="F11" s="213">
        <v>35834</v>
      </c>
      <c r="G11" s="793">
        <v>35000</v>
      </c>
      <c r="H11" s="793">
        <v>35000</v>
      </c>
      <c r="I11" s="213"/>
      <c r="J11" s="213">
        <f t="shared" ref="J11:J14" si="0">IF($M$2="Yes",H11,0)</f>
        <v>0</v>
      </c>
      <c r="K11" s="213">
        <f t="shared" ref="K11:K14" si="1">IF($N$2="Yes",J11,0)</f>
        <v>0</v>
      </c>
      <c r="L11" s="109"/>
    </row>
    <row r="12" spans="1:14" s="792" customFormat="1" hidden="1">
      <c r="A12" s="1011">
        <v>520</v>
      </c>
      <c r="B12" s="1011">
        <v>0</v>
      </c>
      <c r="C12" s="1011"/>
      <c r="D12" s="792" t="s">
        <v>450</v>
      </c>
      <c r="E12" s="793">
        <v>0</v>
      </c>
      <c r="F12" s="793">
        <v>0</v>
      </c>
      <c r="G12" s="793">
        <v>0</v>
      </c>
      <c r="H12" s="793">
        <v>0</v>
      </c>
      <c r="I12" s="793"/>
      <c r="J12" s="793">
        <f t="shared" ref="J12" si="2">IF($M$2="Yes",H12,0)</f>
        <v>0</v>
      </c>
      <c r="K12" s="793">
        <f t="shared" ref="K12" si="3">IF($N$2="Yes",J12,0)</f>
        <v>0</v>
      </c>
      <c r="L12" s="933"/>
      <c r="M12" s="792">
        <f>1.5*400*12</f>
        <v>7200</v>
      </c>
    </row>
    <row r="13" spans="1:14" ht="17.25" thickBot="1">
      <c r="A13" s="1011">
        <v>520</v>
      </c>
      <c r="B13" s="1011">
        <v>0</v>
      </c>
      <c r="C13" s="1011">
        <v>46057</v>
      </c>
      <c r="D13" s="205" t="s">
        <v>23</v>
      </c>
      <c r="E13" s="789">
        <v>0</v>
      </c>
      <c r="F13" s="151">
        <v>0</v>
      </c>
      <c r="G13" s="793">
        <v>200</v>
      </c>
      <c r="H13" s="793">
        <v>200</v>
      </c>
      <c r="I13" s="495"/>
      <c r="J13" s="213">
        <f t="shared" si="0"/>
        <v>0</v>
      </c>
      <c r="K13" s="213">
        <f t="shared" si="1"/>
        <v>0</v>
      </c>
      <c r="L13" s="109"/>
    </row>
    <row r="14" spans="1:14" ht="15.75" hidden="1" thickBot="1">
      <c r="D14" s="205" t="s">
        <v>79</v>
      </c>
      <c r="E14" s="807">
        <v>0</v>
      </c>
      <c r="F14" s="493">
        <v>0</v>
      </c>
      <c r="G14" s="493">
        <v>0</v>
      </c>
      <c r="H14" s="493">
        <v>0</v>
      </c>
      <c r="I14" s="213"/>
      <c r="J14" s="213">
        <f t="shared" si="0"/>
        <v>0</v>
      </c>
      <c r="K14" s="213">
        <f t="shared" si="1"/>
        <v>0</v>
      </c>
      <c r="L14" s="109"/>
    </row>
    <row r="15" spans="1:14" ht="16.5" thickTop="1">
      <c r="D15" s="632" t="s">
        <v>404</v>
      </c>
      <c r="E15" s="825">
        <f t="shared" ref="E15" si="4">SUM(E10:E14)</f>
        <v>37032</v>
      </c>
      <c r="F15" s="673">
        <f t="shared" ref="F15:H15" si="5">SUM(F10:F14)</f>
        <v>46920</v>
      </c>
      <c r="G15" s="673">
        <f t="shared" si="5"/>
        <v>52200</v>
      </c>
      <c r="H15" s="673">
        <f t="shared" si="5"/>
        <v>52200</v>
      </c>
      <c r="I15" s="213"/>
      <c r="J15" s="673">
        <f t="shared" ref="J15:K15" si="6">SUM(J10:J14)</f>
        <v>0</v>
      </c>
      <c r="K15" s="673">
        <f t="shared" si="6"/>
        <v>0</v>
      </c>
      <c r="L15" s="109"/>
    </row>
    <row r="16" spans="1:14">
      <c r="D16" s="674" t="s">
        <v>291</v>
      </c>
      <c r="E16" s="826">
        <f>SUM(E11:E14)</f>
        <v>32042</v>
      </c>
      <c r="F16" s="675">
        <f>SUM(F11:F14)</f>
        <v>35834</v>
      </c>
      <c r="G16" s="675">
        <f>SUM(G11:G14)</f>
        <v>35200</v>
      </c>
      <c r="H16" s="675">
        <f>SUM(H11:H14)</f>
        <v>35200</v>
      </c>
      <c r="I16" s="493"/>
      <c r="J16" s="213">
        <f t="shared" ref="J16:K16" si="7">SUM(J11:J14)</f>
        <v>0</v>
      </c>
      <c r="K16" s="213">
        <f t="shared" si="7"/>
        <v>0</v>
      </c>
      <c r="L16" s="109"/>
    </row>
    <row r="17" spans="1:12">
      <c r="E17" s="793"/>
      <c r="F17" s="213"/>
      <c r="G17" s="213"/>
      <c r="H17" s="213"/>
      <c r="I17" s="493"/>
      <c r="J17" s="213"/>
      <c r="K17" s="213"/>
      <c r="L17" s="109"/>
    </row>
    <row r="18" spans="1:12" ht="15.75">
      <c r="D18" s="632" t="s">
        <v>405</v>
      </c>
      <c r="E18" s="793"/>
      <c r="F18" s="213"/>
      <c r="G18" s="213"/>
      <c r="H18" s="213"/>
      <c r="I18" s="493"/>
      <c r="J18" s="213"/>
      <c r="K18" s="213"/>
      <c r="L18" s="109"/>
    </row>
    <row r="19" spans="1:12">
      <c r="A19" s="1011" t="s">
        <v>561</v>
      </c>
      <c r="D19" s="205" t="s">
        <v>220</v>
      </c>
      <c r="E19" s="793">
        <v>13192</v>
      </c>
      <c r="F19" s="213">
        <v>11307</v>
      </c>
      <c r="G19" s="793">
        <v>12657</v>
      </c>
      <c r="H19" s="793">
        <v>12656.909222921699</v>
      </c>
      <c r="I19" s="493"/>
      <c r="J19" s="213">
        <f t="shared" ref="J19:J22" si="8">IF($M$2="Yes",H19,0)</f>
        <v>0</v>
      </c>
      <c r="K19" s="213">
        <f t="shared" ref="K19:K22" si="9">IF($N$2="Yes",J19,0)</f>
        <v>0</v>
      </c>
      <c r="L19" s="109"/>
    </row>
    <row r="20" spans="1:12">
      <c r="A20" s="1011">
        <v>520</v>
      </c>
      <c r="B20" s="1011">
        <v>440</v>
      </c>
      <c r="C20" s="1011">
        <v>51030</v>
      </c>
      <c r="D20" s="205" t="s">
        <v>198</v>
      </c>
      <c r="E20" s="793">
        <v>1240</v>
      </c>
      <c r="F20" s="213">
        <v>1390</v>
      </c>
      <c r="G20" s="793">
        <v>1749</v>
      </c>
      <c r="H20" s="793">
        <v>1749.1848546077786</v>
      </c>
      <c r="I20" s="493"/>
      <c r="J20" s="213">
        <f t="shared" si="8"/>
        <v>0</v>
      </c>
      <c r="K20" s="213">
        <f t="shared" si="9"/>
        <v>0</v>
      </c>
      <c r="L20" s="109"/>
    </row>
    <row r="21" spans="1:12">
      <c r="A21" s="1011">
        <v>520</v>
      </c>
      <c r="B21" s="1011">
        <v>440</v>
      </c>
      <c r="C21" s="1011">
        <v>51010</v>
      </c>
      <c r="D21" s="7" t="s">
        <v>260</v>
      </c>
      <c r="E21" s="793">
        <v>4089</v>
      </c>
      <c r="F21" s="213">
        <v>4675</v>
      </c>
      <c r="G21" s="793">
        <v>4411</v>
      </c>
      <c r="H21" s="793">
        <v>4410.5320000000002</v>
      </c>
      <c r="I21" s="493"/>
      <c r="J21" s="213">
        <f t="shared" si="8"/>
        <v>0</v>
      </c>
      <c r="K21" s="213">
        <f t="shared" si="9"/>
        <v>0</v>
      </c>
      <c r="L21" s="109"/>
    </row>
    <row r="22" spans="1:12">
      <c r="A22" s="1011">
        <v>520</v>
      </c>
      <c r="B22" s="1011">
        <v>440</v>
      </c>
      <c r="C22" s="1011">
        <v>51020</v>
      </c>
      <c r="D22" s="12" t="s">
        <v>276</v>
      </c>
      <c r="E22" s="808">
        <v>3337</v>
      </c>
      <c r="F22" s="494">
        <v>2471</v>
      </c>
      <c r="G22" s="211">
        <f>3438-1</f>
        <v>3437</v>
      </c>
      <c r="H22" s="211">
        <v>3437.6165449455334</v>
      </c>
      <c r="I22" s="213"/>
      <c r="J22" s="211">
        <f t="shared" si="8"/>
        <v>0</v>
      </c>
      <c r="K22" s="211">
        <f t="shared" si="9"/>
        <v>0</v>
      </c>
      <c r="L22" s="109"/>
    </row>
    <row r="23" spans="1:12" ht="15.75">
      <c r="D23" s="632" t="s">
        <v>406</v>
      </c>
      <c r="E23" s="823">
        <f>SUM(E19:E22)</f>
        <v>21858</v>
      </c>
      <c r="F23" s="660">
        <f>SUM(F19:F22)</f>
        <v>19843</v>
      </c>
      <c r="G23" s="660">
        <f t="shared" ref="G23:H23" si="10">SUM(G19:G22)</f>
        <v>22254</v>
      </c>
      <c r="H23" s="660">
        <f t="shared" si="10"/>
        <v>22254.242622475009</v>
      </c>
      <c r="I23" s="213"/>
      <c r="J23" s="660">
        <f t="shared" ref="J23:K23" si="11">SUM(J19:J22)</f>
        <v>0</v>
      </c>
      <c r="K23" s="660">
        <f t="shared" si="11"/>
        <v>0</v>
      </c>
      <c r="L23" s="109"/>
    </row>
    <row r="24" spans="1:12">
      <c r="E24" s="793"/>
      <c r="F24" s="213"/>
      <c r="G24" s="213"/>
      <c r="H24" s="213"/>
      <c r="I24" s="213"/>
      <c r="J24" s="213"/>
      <c r="K24" s="213"/>
      <c r="L24" s="109"/>
    </row>
    <row r="25" spans="1:12" ht="15.75">
      <c r="D25" s="632" t="s">
        <v>48</v>
      </c>
      <c r="E25" s="793"/>
      <c r="F25" s="213"/>
      <c r="G25" s="213"/>
      <c r="H25" s="213"/>
      <c r="I25" s="213"/>
      <c r="J25" s="213"/>
      <c r="K25" s="213"/>
      <c r="L25" s="109"/>
    </row>
    <row r="26" spans="1:12" s="792" customFormat="1">
      <c r="A26" s="1011">
        <v>520</v>
      </c>
      <c r="B26" s="1011">
        <v>440</v>
      </c>
      <c r="C26" s="1011">
        <v>52002</v>
      </c>
      <c r="D26" s="792" t="s">
        <v>39</v>
      </c>
      <c r="E26" s="789">
        <v>0</v>
      </c>
      <c r="F26" s="789">
        <v>0</v>
      </c>
      <c r="G26" s="793">
        <v>70</v>
      </c>
      <c r="H26" s="793">
        <v>70</v>
      </c>
      <c r="I26" s="793"/>
      <c r="J26" s="793">
        <f t="shared" ref="J26:J35" si="12">IF($M$2="Yes",H26,0)</f>
        <v>0</v>
      </c>
      <c r="K26" s="793">
        <f t="shared" ref="K26:K35" si="13">IF($N$2="Yes",J26,0)</f>
        <v>0</v>
      </c>
      <c r="L26" s="933"/>
    </row>
    <row r="27" spans="1:12">
      <c r="A27" s="1011">
        <v>520</v>
      </c>
      <c r="B27" s="1011">
        <v>440</v>
      </c>
      <c r="C27" s="1011">
        <v>52011</v>
      </c>
      <c r="D27" s="204" t="s">
        <v>89</v>
      </c>
      <c r="E27" s="789">
        <v>0</v>
      </c>
      <c r="F27" s="789">
        <v>0</v>
      </c>
      <c r="G27" s="791">
        <v>1400</v>
      </c>
      <c r="H27" s="791">
        <v>1400</v>
      </c>
      <c r="I27" s="498"/>
      <c r="J27" s="791">
        <f t="shared" si="12"/>
        <v>0</v>
      </c>
      <c r="K27" s="791">
        <f t="shared" si="13"/>
        <v>0</v>
      </c>
      <c r="L27" s="109"/>
    </row>
    <row r="28" spans="1:12" hidden="1">
      <c r="A28" s="1011">
        <v>520</v>
      </c>
      <c r="B28" s="1011">
        <v>440</v>
      </c>
      <c r="D28" s="205" t="s">
        <v>87</v>
      </c>
      <c r="E28" s="789">
        <v>0</v>
      </c>
      <c r="F28" s="151">
        <v>0</v>
      </c>
      <c r="G28" s="793">
        <v>0</v>
      </c>
      <c r="H28" s="793">
        <v>0</v>
      </c>
      <c r="I28" s="493"/>
      <c r="J28" s="213">
        <f t="shared" si="12"/>
        <v>0</v>
      </c>
      <c r="K28" s="213">
        <f t="shared" si="13"/>
        <v>0</v>
      </c>
      <c r="L28" s="109"/>
    </row>
    <row r="29" spans="1:12">
      <c r="A29" s="1011">
        <v>520</v>
      </c>
      <c r="B29" s="1011">
        <v>440</v>
      </c>
      <c r="C29" s="1011">
        <v>52014</v>
      </c>
      <c r="D29" s="204" t="s">
        <v>142</v>
      </c>
      <c r="E29" s="787">
        <v>0</v>
      </c>
      <c r="F29" s="787">
        <v>0</v>
      </c>
      <c r="G29" s="791">
        <v>200</v>
      </c>
      <c r="H29" s="791">
        <v>200</v>
      </c>
      <c r="I29" s="213"/>
      <c r="J29" s="791">
        <f t="shared" si="12"/>
        <v>0</v>
      </c>
      <c r="K29" s="791">
        <f t="shared" si="13"/>
        <v>0</v>
      </c>
      <c r="L29" s="109"/>
    </row>
    <row r="30" spans="1:12" s="792" customFormat="1">
      <c r="A30" s="1011">
        <v>520</v>
      </c>
      <c r="B30" s="1011">
        <v>440</v>
      </c>
      <c r="C30" s="1011">
        <v>52016</v>
      </c>
      <c r="D30" s="792" t="s">
        <v>94</v>
      </c>
      <c r="E30" s="793">
        <v>0</v>
      </c>
      <c r="F30" s="793">
        <v>0</v>
      </c>
      <c r="G30" s="793">
        <v>950</v>
      </c>
      <c r="H30" s="793">
        <f>19000*0.05</f>
        <v>950</v>
      </c>
      <c r="I30" s="793"/>
      <c r="J30" s="793">
        <f t="shared" si="12"/>
        <v>0</v>
      </c>
      <c r="K30" s="793">
        <f t="shared" si="13"/>
        <v>0</v>
      </c>
      <c r="L30" s="785"/>
    </row>
    <row r="31" spans="1:12" ht="16.5">
      <c r="A31" s="1011">
        <v>520</v>
      </c>
      <c r="B31" s="1011">
        <v>440</v>
      </c>
      <c r="C31" s="1011">
        <v>52019</v>
      </c>
      <c r="D31" s="205" t="s">
        <v>72</v>
      </c>
      <c r="E31" s="793">
        <v>3499</v>
      </c>
      <c r="F31" s="793">
        <f>2009-25+1</f>
        <v>1985</v>
      </c>
      <c r="G31" s="793">
        <v>1929</v>
      </c>
      <c r="H31" s="793">
        <f>2000-71</f>
        <v>1929</v>
      </c>
      <c r="I31" s="495"/>
      <c r="J31" s="213">
        <f t="shared" si="12"/>
        <v>0</v>
      </c>
      <c r="K31" s="213">
        <f t="shared" si="13"/>
        <v>0</v>
      </c>
      <c r="L31" s="109"/>
    </row>
    <row r="32" spans="1:12">
      <c r="A32" s="1011">
        <v>520</v>
      </c>
      <c r="B32" s="1011">
        <v>440</v>
      </c>
      <c r="C32" s="1011">
        <v>52023</v>
      </c>
      <c r="D32" s="792" t="s">
        <v>88</v>
      </c>
      <c r="E32" s="789">
        <v>0</v>
      </c>
      <c r="F32" s="151">
        <v>0</v>
      </c>
      <c r="G32" s="793">
        <v>200</v>
      </c>
      <c r="H32" s="793">
        <v>200</v>
      </c>
      <c r="I32" s="793"/>
      <c r="J32" s="793">
        <f t="shared" si="12"/>
        <v>0</v>
      </c>
      <c r="K32" s="793">
        <f t="shared" si="13"/>
        <v>0</v>
      </c>
      <c r="L32" s="109"/>
    </row>
    <row r="33" spans="1:13" s="792" customFormat="1">
      <c r="A33" s="1011">
        <v>520</v>
      </c>
      <c r="B33" s="1011">
        <v>440</v>
      </c>
      <c r="C33" s="1011">
        <v>52101</v>
      </c>
      <c r="D33" s="792" t="s">
        <v>175</v>
      </c>
      <c r="E33" s="789">
        <v>0</v>
      </c>
      <c r="F33" s="789">
        <v>111</v>
      </c>
      <c r="G33" s="793">
        <v>0</v>
      </c>
      <c r="H33" s="793">
        <v>0</v>
      </c>
      <c r="I33" s="793"/>
      <c r="J33" s="793">
        <f t="shared" si="12"/>
        <v>0</v>
      </c>
      <c r="K33" s="793">
        <f t="shared" si="13"/>
        <v>0</v>
      </c>
      <c r="L33" s="933"/>
    </row>
    <row r="34" spans="1:13" s="792" customFormat="1">
      <c r="A34" s="1011">
        <v>520</v>
      </c>
      <c r="B34" s="1011">
        <v>440</v>
      </c>
      <c r="C34" s="1011">
        <v>52103</v>
      </c>
      <c r="D34" s="792" t="s">
        <v>62</v>
      </c>
      <c r="E34" s="789">
        <v>0</v>
      </c>
      <c r="F34" s="789">
        <v>98</v>
      </c>
      <c r="G34" s="793">
        <v>0</v>
      </c>
      <c r="H34" s="793">
        <v>0</v>
      </c>
      <c r="I34" s="793"/>
      <c r="J34" s="793">
        <f t="shared" si="12"/>
        <v>0</v>
      </c>
      <c r="K34" s="793">
        <f t="shared" si="13"/>
        <v>0</v>
      </c>
      <c r="L34" s="933"/>
    </row>
    <row r="35" spans="1:13">
      <c r="A35" s="1011">
        <v>520</v>
      </c>
      <c r="B35" s="1011">
        <v>440</v>
      </c>
      <c r="C35" s="1011">
        <v>52114</v>
      </c>
      <c r="D35" s="792" t="s">
        <v>470</v>
      </c>
      <c r="E35" s="781">
        <v>389</v>
      </c>
      <c r="F35" s="781">
        <v>778</v>
      </c>
      <c r="G35" s="1014">
        <v>804</v>
      </c>
      <c r="H35" s="1014">
        <f>'CIP_Rec Costs'!E50</f>
        <v>804</v>
      </c>
      <c r="I35" s="213"/>
      <c r="J35" s="1014">
        <f t="shared" si="12"/>
        <v>0</v>
      </c>
      <c r="K35" s="1014">
        <f t="shared" si="13"/>
        <v>0</v>
      </c>
      <c r="L35" s="109"/>
    </row>
    <row r="36" spans="1:13" ht="15.75">
      <c r="D36" s="676" t="s">
        <v>68</v>
      </c>
      <c r="E36" s="823">
        <f>SUM(E26:E35)</f>
        <v>3888</v>
      </c>
      <c r="F36" s="823">
        <f t="shared" ref="F36:H36" si="14">SUM(F26:F35)</f>
        <v>2972</v>
      </c>
      <c r="G36" s="823">
        <f t="shared" si="14"/>
        <v>5553</v>
      </c>
      <c r="H36" s="823">
        <f t="shared" si="14"/>
        <v>5553</v>
      </c>
      <c r="I36" s="660"/>
      <c r="J36" s="823">
        <f>SUM(J26:J35)</f>
        <v>0</v>
      </c>
      <c r="K36" s="823">
        <f>SUM(K26:K35)</f>
        <v>0</v>
      </c>
      <c r="L36" s="109"/>
      <c r="M36" s="243"/>
    </row>
    <row r="37" spans="1:13" ht="14.25" hidden="1" customHeight="1">
      <c r="E37" s="793"/>
      <c r="F37" s="213"/>
      <c r="G37" s="213"/>
      <c r="H37" s="213"/>
      <c r="I37" s="213"/>
      <c r="J37" s="213"/>
      <c r="K37" s="213"/>
      <c r="L37" s="109"/>
    </row>
    <row r="38" spans="1:13" ht="15.75" hidden="1">
      <c r="D38" s="632" t="s">
        <v>69</v>
      </c>
      <c r="E38" s="793"/>
      <c r="F38" s="213"/>
      <c r="G38" s="213"/>
      <c r="H38" s="213"/>
      <c r="I38" s="213"/>
      <c r="J38" s="213"/>
      <c r="K38" s="213"/>
      <c r="L38" s="109"/>
    </row>
    <row r="39" spans="1:13" hidden="1">
      <c r="D39" s="205" t="s">
        <v>173</v>
      </c>
      <c r="E39" s="789">
        <v>0</v>
      </c>
      <c r="F39" s="151">
        <v>0</v>
      </c>
      <c r="G39" s="151">
        <v>0</v>
      </c>
      <c r="H39" s="213">
        <v>0</v>
      </c>
      <c r="I39" s="213"/>
      <c r="J39" s="213">
        <f t="shared" ref="J39:J41" si="15">IF($M$2="Yes",H39,0)</f>
        <v>0</v>
      </c>
      <c r="K39" s="213">
        <f t="shared" ref="K39:K41" si="16">IF($N$2="Yes",J39,0)</f>
        <v>0</v>
      </c>
      <c r="L39" s="109"/>
    </row>
    <row r="40" spans="1:13" ht="16.5" hidden="1">
      <c r="D40" s="205" t="s">
        <v>156</v>
      </c>
      <c r="E40" s="789">
        <v>0</v>
      </c>
      <c r="F40" s="151">
        <v>0</v>
      </c>
      <c r="G40" s="151">
        <v>0</v>
      </c>
      <c r="H40" s="213">
        <v>0</v>
      </c>
      <c r="I40" s="423"/>
      <c r="J40" s="213">
        <f t="shared" si="15"/>
        <v>0</v>
      </c>
      <c r="K40" s="213">
        <f t="shared" si="16"/>
        <v>0</v>
      </c>
      <c r="L40" s="109"/>
    </row>
    <row r="41" spans="1:13" ht="16.5" hidden="1">
      <c r="D41" s="205" t="s">
        <v>90</v>
      </c>
      <c r="E41" s="781">
        <v>0</v>
      </c>
      <c r="F41" s="45">
        <v>0</v>
      </c>
      <c r="G41" s="45">
        <v>0</v>
      </c>
      <c r="H41" s="494">
        <v>0</v>
      </c>
      <c r="I41" s="495"/>
      <c r="J41" s="494">
        <f t="shared" si="15"/>
        <v>0</v>
      </c>
      <c r="K41" s="494">
        <f t="shared" si="16"/>
        <v>0</v>
      </c>
      <c r="L41" s="109"/>
    </row>
    <row r="42" spans="1:13" ht="15.75" hidden="1">
      <c r="D42" s="632" t="s">
        <v>55</v>
      </c>
      <c r="E42" s="783">
        <f>SUM(E39:E41)</f>
        <v>0</v>
      </c>
      <c r="F42" s="50">
        <f>SUM(F39:F41)</f>
        <v>0</v>
      </c>
      <c r="G42" s="50">
        <f t="shared" ref="G42:H42" si="17">SUM(G39:G41)</f>
        <v>0</v>
      </c>
      <c r="H42" s="50">
        <f t="shared" si="17"/>
        <v>0</v>
      </c>
      <c r="I42" s="660"/>
      <c r="J42" s="50">
        <f t="shared" ref="J42:K42" si="18">SUM(J39:J41)</f>
        <v>0</v>
      </c>
      <c r="K42" s="50">
        <f t="shared" si="18"/>
        <v>0</v>
      </c>
      <c r="L42" s="109"/>
    </row>
    <row r="43" spans="1:13" ht="16.5" thickBot="1">
      <c r="E43" s="809"/>
      <c r="F43" s="497"/>
      <c r="G43" s="497"/>
      <c r="H43" s="497"/>
      <c r="I43" s="213"/>
      <c r="J43" s="497"/>
      <c r="K43" s="497"/>
      <c r="L43" s="109"/>
    </row>
    <row r="44" spans="1:13" ht="16.5" thickTop="1">
      <c r="D44" s="632" t="s">
        <v>28</v>
      </c>
      <c r="E44" s="825">
        <f t="shared" ref="E44" si="19">SUM(E23+E36+E42)</f>
        <v>25746</v>
      </c>
      <c r="F44" s="673">
        <f>SUM(F23+F36+F42)</f>
        <v>22815</v>
      </c>
      <c r="G44" s="673">
        <f t="shared" ref="G44" si="20">SUM(G23+G36+G42)</f>
        <v>27807</v>
      </c>
      <c r="H44" s="673">
        <f>SUM(H23+H36+H42)</f>
        <v>27807.242622475009</v>
      </c>
      <c r="I44" s="213"/>
      <c r="J44" s="673">
        <f t="shared" ref="J44:K44" si="21">SUM(J23+J36+J42)</f>
        <v>0</v>
      </c>
      <c r="K44" s="673">
        <f t="shared" si="21"/>
        <v>0</v>
      </c>
      <c r="L44" s="109"/>
      <c r="M44" s="835"/>
    </row>
    <row r="45" spans="1:13" ht="15.75">
      <c r="D45" s="632"/>
      <c r="E45" s="809"/>
      <c r="F45" s="497"/>
      <c r="G45" s="497"/>
      <c r="H45" s="497"/>
      <c r="I45" s="213"/>
      <c r="J45" s="497"/>
      <c r="K45" s="497"/>
      <c r="L45" s="109"/>
    </row>
    <row r="46" spans="1:13" ht="15.75">
      <c r="D46" s="632" t="s">
        <v>134</v>
      </c>
      <c r="E46" s="809"/>
      <c r="F46" s="497"/>
      <c r="G46" s="497"/>
      <c r="H46" s="497"/>
      <c r="I46" s="213"/>
      <c r="J46" s="497"/>
      <c r="K46" s="497"/>
      <c r="L46" s="109"/>
    </row>
    <row r="47" spans="1:13" ht="15.75">
      <c r="D47" s="632" t="s">
        <v>135</v>
      </c>
      <c r="E47" s="809"/>
      <c r="F47" s="497"/>
      <c r="G47" s="497"/>
      <c r="H47" s="497"/>
      <c r="I47" s="213"/>
      <c r="J47" s="497"/>
      <c r="K47" s="497"/>
      <c r="L47" s="109"/>
    </row>
    <row r="48" spans="1:13" hidden="1">
      <c r="A48" s="1011">
        <v>520</v>
      </c>
      <c r="B48" s="1011">
        <v>440</v>
      </c>
      <c r="C48" s="1011">
        <v>55600</v>
      </c>
      <c r="D48" s="205" t="s">
        <v>371</v>
      </c>
      <c r="E48" s="791">
        <v>0</v>
      </c>
      <c r="F48" s="168">
        <v>0</v>
      </c>
      <c r="G48" s="791">
        <v>0</v>
      </c>
      <c r="H48" s="791">
        <v>0</v>
      </c>
      <c r="I48" s="213"/>
      <c r="J48" s="213">
        <f t="shared" ref="J48:J50" si="22">IF($M$2="Yes",H48,0)</f>
        <v>0</v>
      </c>
      <c r="K48" s="213">
        <f t="shared" ref="K48:K50" si="23">IF($N$2="Yes",J48,0)</f>
        <v>0</v>
      </c>
      <c r="L48" s="109"/>
    </row>
    <row r="49" spans="1:19" hidden="1">
      <c r="A49" s="1011">
        <v>520</v>
      </c>
      <c r="B49" s="1011">
        <v>440</v>
      </c>
      <c r="C49" s="1011">
        <v>55600</v>
      </c>
      <c r="D49" s="205" t="s">
        <v>173</v>
      </c>
      <c r="E49" s="791">
        <v>0</v>
      </c>
      <c r="F49" s="168">
        <v>0</v>
      </c>
      <c r="G49" s="791">
        <v>0</v>
      </c>
      <c r="H49" s="791">
        <v>0</v>
      </c>
      <c r="I49" s="213"/>
      <c r="J49" s="213">
        <f t="shared" si="22"/>
        <v>0</v>
      </c>
      <c r="K49" s="213">
        <f t="shared" si="23"/>
        <v>0</v>
      </c>
      <c r="L49" s="109"/>
    </row>
    <row r="50" spans="1:19">
      <c r="A50" s="1011">
        <v>520</v>
      </c>
      <c r="B50" s="1011">
        <v>440</v>
      </c>
      <c r="C50" s="1011">
        <v>55600</v>
      </c>
      <c r="D50" s="205" t="s">
        <v>156</v>
      </c>
      <c r="E50" s="795">
        <v>200</v>
      </c>
      <c r="F50" s="281">
        <v>0</v>
      </c>
      <c r="G50" s="795">
        <v>200</v>
      </c>
      <c r="H50" s="795">
        <v>200</v>
      </c>
      <c r="I50" s="213"/>
      <c r="J50" s="211">
        <f t="shared" si="22"/>
        <v>0</v>
      </c>
      <c r="K50" s="211">
        <f t="shared" si="23"/>
        <v>0</v>
      </c>
      <c r="L50" s="109"/>
    </row>
    <row r="51" spans="1:19" ht="15.75">
      <c r="D51" s="632" t="s">
        <v>113</v>
      </c>
      <c r="E51" s="823">
        <f t="shared" ref="E51" si="24">SUM(E48:E50)</f>
        <v>200</v>
      </c>
      <c r="F51" s="660">
        <f t="shared" ref="F51:H51" si="25">SUM(F48:F50)</f>
        <v>0</v>
      </c>
      <c r="G51" s="660">
        <f t="shared" si="25"/>
        <v>200</v>
      </c>
      <c r="H51" s="660">
        <f t="shared" si="25"/>
        <v>200</v>
      </c>
      <c r="I51" s="661"/>
      <c r="J51" s="660">
        <f t="shared" ref="J51:K51" si="26">SUM(J48:J50)</f>
        <v>0</v>
      </c>
      <c r="K51" s="660">
        <f t="shared" si="26"/>
        <v>0</v>
      </c>
      <c r="L51" s="109"/>
    </row>
    <row r="52" spans="1:19">
      <c r="E52" s="793"/>
      <c r="F52" s="213"/>
      <c r="G52" s="213"/>
      <c r="H52" s="213"/>
      <c r="I52" s="213"/>
      <c r="J52" s="213"/>
      <c r="K52" s="213"/>
      <c r="L52" s="109"/>
    </row>
    <row r="53" spans="1:19" hidden="1">
      <c r="E53" s="793"/>
      <c r="F53" s="213"/>
      <c r="G53" s="213"/>
      <c r="H53" s="213"/>
      <c r="I53" s="213"/>
      <c r="J53" s="213"/>
      <c r="K53" s="213"/>
      <c r="L53" s="109"/>
    </row>
    <row r="54" spans="1:19" hidden="1">
      <c r="E54" s="793"/>
      <c r="F54" s="213"/>
      <c r="G54" s="213"/>
      <c r="H54" s="213"/>
      <c r="I54" s="213"/>
      <c r="J54" s="213"/>
      <c r="K54" s="213"/>
      <c r="L54" s="109"/>
    </row>
    <row r="55" spans="1:19" ht="15.75" hidden="1">
      <c r="D55" s="632" t="s">
        <v>364</v>
      </c>
      <c r="E55" s="796"/>
      <c r="F55" s="299"/>
      <c r="G55" s="299"/>
      <c r="H55" s="299"/>
      <c r="I55" s="487"/>
      <c r="J55" s="487"/>
      <c r="K55" s="487"/>
    </row>
    <row r="56" spans="1:19" hidden="1">
      <c r="D56" s="205" t="s">
        <v>371</v>
      </c>
      <c r="E56" s="789">
        <v>0</v>
      </c>
      <c r="F56" s="151">
        <v>0</v>
      </c>
      <c r="G56" s="151">
        <v>0</v>
      </c>
      <c r="H56" s="151">
        <v>0</v>
      </c>
      <c r="I56" s="213"/>
      <c r="J56" s="213">
        <f t="shared" ref="J56:J59" si="27">IF($M$2="Yes",H56,0)</f>
        <v>0</v>
      </c>
      <c r="K56" s="213">
        <f t="shared" ref="K56:K59" si="28">IF($N$2="Yes",J56,0)</f>
        <v>0</v>
      </c>
    </row>
    <row r="57" spans="1:19" ht="16.5" hidden="1">
      <c r="D57" s="205" t="s">
        <v>173</v>
      </c>
      <c r="E57" s="789">
        <v>0</v>
      </c>
      <c r="F57" s="151">
        <v>0</v>
      </c>
      <c r="G57" s="213">
        <v>0</v>
      </c>
      <c r="H57" s="493">
        <v>0</v>
      </c>
      <c r="I57" s="423">
        <v>2</v>
      </c>
      <c r="J57" s="151">
        <f t="shared" si="27"/>
        <v>0</v>
      </c>
      <c r="K57" s="151">
        <f t="shared" si="28"/>
        <v>0</v>
      </c>
    </row>
    <row r="58" spans="1:19" ht="16.5" hidden="1">
      <c r="D58" s="205" t="s">
        <v>156</v>
      </c>
      <c r="E58" s="789">
        <v>0</v>
      </c>
      <c r="F58" s="151">
        <v>0</v>
      </c>
      <c r="G58" s="213">
        <v>0</v>
      </c>
      <c r="H58" s="493">
        <v>0</v>
      </c>
      <c r="I58" s="423"/>
      <c r="J58" s="151">
        <f t="shared" si="27"/>
        <v>0</v>
      </c>
      <c r="K58" s="213">
        <f t="shared" si="28"/>
        <v>0</v>
      </c>
    </row>
    <row r="59" spans="1:19" ht="16.5" hidden="1">
      <c r="D59" s="205" t="s">
        <v>90</v>
      </c>
      <c r="E59" s="781">
        <v>0</v>
      </c>
      <c r="F59" s="45">
        <v>0</v>
      </c>
      <c r="G59" s="494">
        <v>0</v>
      </c>
      <c r="H59" s="494">
        <v>0</v>
      </c>
      <c r="I59" s="495"/>
      <c r="J59" s="45">
        <f t="shared" si="27"/>
        <v>0</v>
      </c>
      <c r="K59" s="494">
        <f t="shared" si="28"/>
        <v>0</v>
      </c>
    </row>
    <row r="60" spans="1:19" ht="15.75" hidden="1">
      <c r="D60" s="632" t="s">
        <v>358</v>
      </c>
      <c r="E60" s="783">
        <f t="shared" ref="E60" si="29">SUM(E56:E59)</f>
        <v>0</v>
      </c>
      <c r="F60" s="50">
        <f t="shared" ref="F60:H60" si="30">SUM(F56:F59)</f>
        <v>0</v>
      </c>
      <c r="G60" s="50">
        <f t="shared" si="30"/>
        <v>0</v>
      </c>
      <c r="H60" s="50">
        <f t="shared" si="30"/>
        <v>0</v>
      </c>
      <c r="I60" s="660"/>
      <c r="J60" s="50">
        <f t="shared" ref="J60:K60" si="31">SUM(J56:J59)</f>
        <v>0</v>
      </c>
      <c r="K60" s="50">
        <f t="shared" si="31"/>
        <v>0</v>
      </c>
    </row>
    <row r="61" spans="1:19" ht="15.75" hidden="1">
      <c r="D61" s="632"/>
      <c r="E61" s="827"/>
      <c r="F61" s="677"/>
      <c r="G61" s="677"/>
      <c r="H61" s="677"/>
      <c r="I61" s="678"/>
      <c r="J61" s="678"/>
      <c r="K61" s="678"/>
    </row>
    <row r="62" spans="1:19" ht="15.75" thickBot="1">
      <c r="A62" s="779">
        <v>520</v>
      </c>
      <c r="B62" s="779">
        <v>998</v>
      </c>
      <c r="C62" s="779">
        <v>58000</v>
      </c>
      <c r="D62" s="488" t="s">
        <v>245</v>
      </c>
      <c r="E62" s="496">
        <v>0</v>
      </c>
      <c r="F62" s="496">
        <v>0</v>
      </c>
      <c r="G62" s="439">
        <v>0</v>
      </c>
      <c r="H62" s="439">
        <v>0</v>
      </c>
      <c r="I62" s="213"/>
      <c r="J62" s="439">
        <f t="shared" ref="J62" si="32">IF($M$2="Yes",H62,0)</f>
        <v>0</v>
      </c>
      <c r="K62" s="439">
        <f t="shared" ref="K62" si="33">IF($N$2="Yes",J62,0)</f>
        <v>0</v>
      </c>
    </row>
    <row r="63" spans="1:19" ht="15.75" thickTop="1">
      <c r="A63" s="779"/>
      <c r="B63" s="779"/>
      <c r="C63" s="779"/>
      <c r="D63" s="632" t="s">
        <v>361</v>
      </c>
      <c r="E63" s="783">
        <f>E44+E51+E60+E62</f>
        <v>25946</v>
      </c>
      <c r="F63" s="783">
        <f>F44+F51</f>
        <v>22815</v>
      </c>
      <c r="G63" s="783">
        <f t="shared" ref="G63" si="34">G44+G51+G60+G62</f>
        <v>28007</v>
      </c>
      <c r="H63" s="50">
        <f>H44+H51+H60+H62</f>
        <v>28007.242622475009</v>
      </c>
      <c r="I63" s="50">
        <f t="shared" ref="I63" si="35">SUM(I44+I60+I62)</f>
        <v>0</v>
      </c>
      <c r="J63" s="783">
        <f t="shared" ref="J63:K63" si="36">J44+J51+J60+J62</f>
        <v>0</v>
      </c>
      <c r="K63" s="783">
        <f t="shared" si="36"/>
        <v>0</v>
      </c>
      <c r="L63" s="96"/>
      <c r="M63" s="59"/>
      <c r="N63" s="96"/>
      <c r="O63" s="96"/>
      <c r="P63" s="204"/>
      <c r="Q63" s="204"/>
      <c r="R63" s="204"/>
      <c r="S63" s="204"/>
    </row>
    <row r="64" spans="1:19" ht="14.25">
      <c r="A64" s="779"/>
      <c r="B64" s="779"/>
      <c r="C64" s="779"/>
      <c r="E64" s="796"/>
      <c r="F64" s="299"/>
      <c r="G64" s="299"/>
      <c r="H64" s="299"/>
      <c r="I64" s="487"/>
      <c r="J64" s="487"/>
      <c r="K64" s="487"/>
    </row>
    <row r="65" spans="1:12" ht="15.75" thickBot="1">
      <c r="A65" s="779">
        <v>520</v>
      </c>
      <c r="B65" s="779">
        <v>999</v>
      </c>
      <c r="C65" s="779">
        <v>59000</v>
      </c>
      <c r="D65" s="490" t="s">
        <v>401</v>
      </c>
      <c r="E65" s="496">
        <v>11086</v>
      </c>
      <c r="F65" s="496">
        <f>F15-F63</f>
        <v>24105</v>
      </c>
      <c r="G65" s="496">
        <v>24193</v>
      </c>
      <c r="H65" s="496">
        <f>H15-H63</f>
        <v>24192.757377524991</v>
      </c>
      <c r="I65" s="213"/>
      <c r="J65" s="439">
        <f t="shared" ref="J65" si="37">IF($M$2="Yes",H65,0)</f>
        <v>0</v>
      </c>
      <c r="K65" s="439">
        <f t="shared" ref="K65" si="38">IF($N$2="Yes",J65,0)</f>
        <v>0</v>
      </c>
    </row>
    <row r="66" spans="1:12" ht="16.5" thickTop="1">
      <c r="D66" s="632" t="s">
        <v>150</v>
      </c>
      <c r="E66" s="823">
        <f>SUM(E44+E51+E60+E62+E65)</f>
        <v>37032</v>
      </c>
      <c r="F66" s="823">
        <f t="shared" ref="F66:H66" si="39">SUM(F44+F51+F60+F62+F65)</f>
        <v>46920</v>
      </c>
      <c r="G66" s="823">
        <f t="shared" si="39"/>
        <v>52200</v>
      </c>
      <c r="H66" s="823">
        <f t="shared" si="39"/>
        <v>52200</v>
      </c>
      <c r="I66" s="660"/>
      <c r="J66" s="823">
        <f t="shared" ref="J66:K66" si="40">SUM(J44+J51+J60+J62+J65)</f>
        <v>0</v>
      </c>
      <c r="K66" s="823">
        <f t="shared" si="40"/>
        <v>0</v>
      </c>
    </row>
    <row r="67" spans="1:12" ht="15.75">
      <c r="D67" s="632"/>
      <c r="E67" s="660"/>
      <c r="F67" s="660"/>
      <c r="G67" s="660"/>
      <c r="H67" s="660"/>
      <c r="I67" s="660"/>
      <c r="J67" s="660"/>
      <c r="K67" s="660"/>
    </row>
    <row r="68" spans="1:12" ht="15.75">
      <c r="D68" s="632"/>
      <c r="E68" s="823">
        <f t="shared" ref="E68:F68" si="41">E15-E66</f>
        <v>0</v>
      </c>
      <c r="F68" s="823">
        <f t="shared" si="41"/>
        <v>0</v>
      </c>
      <c r="G68" s="823">
        <f>G15-G66</f>
        <v>0</v>
      </c>
      <c r="H68" s="823">
        <f t="shared" ref="H68" si="42">H15-H66</f>
        <v>0</v>
      </c>
      <c r="I68" s="660"/>
      <c r="J68" s="823">
        <f t="shared" ref="J68:K68" si="43">J15-J66</f>
        <v>0</v>
      </c>
      <c r="K68" s="823">
        <f t="shared" si="43"/>
        <v>0</v>
      </c>
    </row>
    <row r="69" spans="1:12">
      <c r="E69" s="161"/>
      <c r="F69" s="161"/>
      <c r="G69" s="161"/>
      <c r="H69" s="161"/>
      <c r="I69" s="679"/>
      <c r="J69" s="679"/>
      <c r="K69" s="679"/>
    </row>
    <row r="70" spans="1:12" ht="15.75">
      <c r="E70" s="680"/>
      <c r="F70" s="680"/>
      <c r="G70" s="680"/>
      <c r="H70" s="680"/>
      <c r="I70" s="487"/>
      <c r="J70" s="680"/>
      <c r="K70" s="680"/>
    </row>
    <row r="71" spans="1:12" ht="15.75">
      <c r="E71" s="680"/>
      <c r="F71" s="680"/>
      <c r="G71" s="680"/>
      <c r="H71" s="680"/>
      <c r="I71" s="487"/>
      <c r="J71" s="680"/>
      <c r="K71" s="680"/>
    </row>
    <row r="72" spans="1:12">
      <c r="E72" s="40"/>
      <c r="F72" s="7"/>
      <c r="K72" s="40"/>
    </row>
    <row r="73" spans="1:12">
      <c r="E73" s="40"/>
      <c r="F73" s="7"/>
      <c r="K73" s="40"/>
    </row>
    <row r="74" spans="1:12" s="204" customFormat="1" ht="15.75">
      <c r="A74" s="1011"/>
      <c r="B74" s="1011"/>
      <c r="C74" s="1011"/>
      <c r="D74" s="492"/>
      <c r="E74" s="681"/>
      <c r="F74" s="492"/>
      <c r="G74" s="682"/>
    </row>
    <row r="75" spans="1:12" s="204" customFormat="1" ht="15.75">
      <c r="A75" s="1011"/>
      <c r="B75" s="1011"/>
      <c r="C75" s="1011"/>
      <c r="D75" s="492"/>
      <c r="E75" s="492"/>
      <c r="F75" s="492"/>
      <c r="G75" s="682"/>
      <c r="H75" s="683"/>
      <c r="I75" s="683"/>
      <c r="J75" s="683"/>
      <c r="K75" s="683"/>
      <c r="L75" s="682"/>
    </row>
    <row r="76" spans="1:12" s="204" customFormat="1">
      <c r="A76" s="1011"/>
      <c r="B76" s="1011"/>
      <c r="C76" s="1011"/>
      <c r="E76" s="96"/>
      <c r="F76" s="190"/>
      <c r="G76" s="96"/>
      <c r="H76" s="96"/>
      <c r="K76" s="96"/>
    </row>
    <row r="77" spans="1:12" s="204" customFormat="1" ht="15.75">
      <c r="A77" s="1011"/>
      <c r="B77" s="1011"/>
      <c r="C77" s="1011"/>
      <c r="D77" s="492"/>
      <c r="F77" s="492"/>
      <c r="G77" s="682"/>
      <c r="H77" s="683"/>
      <c r="I77" s="683"/>
      <c r="J77" s="683"/>
      <c r="K77" s="683"/>
      <c r="L77" s="683"/>
    </row>
    <row r="78" spans="1:12" s="204" customFormat="1">
      <c r="A78" s="1011"/>
      <c r="B78" s="1011"/>
      <c r="C78" s="1011"/>
      <c r="E78" s="96"/>
      <c r="F78" s="190"/>
      <c r="G78" s="96"/>
      <c r="H78" s="96"/>
      <c r="K78" s="96"/>
    </row>
    <row r="79" spans="1:12" s="204" customFormat="1">
      <c r="A79" s="1011"/>
      <c r="B79" s="1011"/>
      <c r="C79" s="1011"/>
      <c r="E79" s="96"/>
      <c r="F79" s="190"/>
      <c r="G79" s="96"/>
      <c r="H79" s="96"/>
      <c r="K79" s="96"/>
    </row>
    <row r="80" spans="1:12">
      <c r="E80" s="40"/>
      <c r="F80" s="7"/>
      <c r="G80" s="40"/>
      <c r="K80" s="40"/>
    </row>
    <row r="81" spans="5:11">
      <c r="E81" s="40"/>
      <c r="F81" s="7"/>
      <c r="G81" s="40"/>
      <c r="K81" s="40"/>
    </row>
    <row r="82" spans="5:11">
      <c r="E82" s="40"/>
      <c r="F82" s="7"/>
      <c r="G82" s="40"/>
      <c r="K82" s="40"/>
    </row>
    <row r="83" spans="5:11">
      <c r="E83" s="40"/>
      <c r="F83" s="7"/>
      <c r="G83" s="40"/>
      <c r="K83" s="40"/>
    </row>
    <row r="84" spans="5:11">
      <c r="E84" s="40"/>
      <c r="F84" s="7"/>
      <c r="G84" s="40"/>
      <c r="K84" s="40"/>
    </row>
    <row r="85" spans="5:11">
      <c r="E85" s="40"/>
      <c r="F85" s="7"/>
      <c r="G85" s="40"/>
      <c r="K85" s="40"/>
    </row>
    <row r="86" spans="5:11">
      <c r="E86" s="40"/>
      <c r="F86" s="7"/>
      <c r="G86" s="40"/>
      <c r="K86" s="40"/>
    </row>
    <row r="87" spans="5:11">
      <c r="E87" s="40"/>
      <c r="F87" s="7"/>
      <c r="G87" s="40"/>
      <c r="K87" s="40"/>
    </row>
    <row r="88" spans="5:11">
      <c r="E88" s="40"/>
      <c r="F88" s="7"/>
      <c r="G88" s="40"/>
      <c r="K88" s="40"/>
    </row>
    <row r="89" spans="5:11">
      <c r="E89" s="40"/>
      <c r="F89" s="7"/>
      <c r="G89" s="40"/>
      <c r="K89" s="40"/>
    </row>
    <row r="90" spans="5:11">
      <c r="E90" s="40"/>
      <c r="F90" s="7"/>
      <c r="G90" s="40"/>
      <c r="K90" s="40"/>
    </row>
    <row r="91" spans="5:11">
      <c r="E91" s="40"/>
      <c r="F91" s="7"/>
      <c r="G91" s="40"/>
      <c r="K91" s="40"/>
    </row>
    <row r="92" spans="5:11">
      <c r="E92" s="40"/>
      <c r="F92" s="7"/>
      <c r="G92" s="40"/>
      <c r="K92" s="40"/>
    </row>
  </sheetData>
  <sortState ref="A26:K33">
    <sortCondition ref="C26:C33"/>
  </sortState>
  <mergeCells count="3">
    <mergeCell ref="D4:K4"/>
    <mergeCell ref="D1:K1"/>
    <mergeCell ref="D2:K2"/>
  </mergeCells>
  <phoneticPr fontId="0" type="noConversion"/>
  <printOptions horizontalCentered="1"/>
  <pageMargins left="0.7" right="0.7" top="0.75" bottom="0.75" header="0.3" footer="0.3"/>
  <pageSetup scale="74" orientation="portrait" horizontalDpi="4294967293" r:id="rId1"/>
  <headerFooter>
    <oddHeader>&amp;C&amp;A</oddHeader>
    <oddFooter>&amp;C&amp;F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4"/>
  <sheetViews>
    <sheetView zoomScale="84" zoomScaleNormal="84" zoomScalePageLayoutView="84" workbookViewId="0">
      <selection activeCell="H31" sqref="H31"/>
    </sheetView>
  </sheetViews>
  <sheetFormatPr defaultColWidth="10.42578125" defaultRowHeight="16.5"/>
  <cols>
    <col min="1" max="3" width="10.7109375" style="788" customWidth="1"/>
    <col min="4" max="4" width="52" style="143" customWidth="1"/>
    <col min="5" max="5" width="14" style="143" customWidth="1"/>
    <col min="6" max="6" width="14" style="144" customWidth="1"/>
    <col min="7" max="7" width="14" style="143" customWidth="1"/>
    <col min="8" max="8" width="14" style="111" customWidth="1"/>
    <col min="9" max="9" width="3.42578125" style="145" customWidth="1"/>
    <col min="10" max="11" width="14" style="143" customWidth="1"/>
    <col min="12" max="16384" width="10.42578125" style="143"/>
  </cols>
  <sheetData>
    <row r="1" spans="1:14" ht="15.75">
      <c r="D1" s="1075" t="s">
        <v>0</v>
      </c>
      <c r="E1" s="1075"/>
      <c r="F1" s="1075"/>
      <c r="G1" s="1075"/>
      <c r="H1" s="1075"/>
      <c r="I1" s="1075"/>
      <c r="J1" s="1075"/>
      <c r="K1" s="1075"/>
      <c r="M1" s="39" t="s">
        <v>381</v>
      </c>
      <c r="N1" s="39" t="s">
        <v>382</v>
      </c>
    </row>
    <row r="2" spans="1:14" ht="15">
      <c r="D2" s="1093" t="str">
        <f>Wastewater!D2</f>
        <v>FISCAL YEAR 2022-2023</v>
      </c>
      <c r="E2" s="1093"/>
      <c r="F2" s="1093"/>
      <c r="G2" s="1093"/>
      <c r="H2" s="1093"/>
      <c r="I2" s="1093"/>
      <c r="J2" s="1093"/>
      <c r="K2" s="1093"/>
      <c r="M2" s="780" t="s">
        <v>568</v>
      </c>
      <c r="N2" s="780" t="s">
        <v>568</v>
      </c>
    </row>
    <row r="3" spans="1:14" ht="18">
      <c r="D3" s="93"/>
      <c r="E3" s="93"/>
      <c r="F3" s="93"/>
      <c r="G3" s="93"/>
      <c r="H3" s="94"/>
      <c r="I3" s="24"/>
      <c r="J3" s="93"/>
      <c r="K3" s="93"/>
      <c r="M3" s="939"/>
    </row>
    <row r="4" spans="1:14" ht="14.25">
      <c r="D4" s="1083" t="s">
        <v>379</v>
      </c>
      <c r="E4" s="1083"/>
      <c r="F4" s="1083"/>
      <c r="G4" s="1083"/>
      <c r="H4" s="1083"/>
      <c r="I4" s="1083"/>
      <c r="J4" s="1083"/>
      <c r="K4" s="1083"/>
    </row>
    <row r="5" spans="1:14" ht="14.25">
      <c r="D5" s="34"/>
      <c r="E5" s="34"/>
      <c r="F5" s="34"/>
      <c r="G5" s="34"/>
      <c r="H5" s="35"/>
      <c r="I5" s="36"/>
      <c r="J5" s="34"/>
      <c r="K5" s="34"/>
    </row>
    <row r="6" spans="1:14" ht="14.25">
      <c r="D6" s="8"/>
      <c r="E6" s="402" t="s">
        <v>54</v>
      </c>
      <c r="F6" s="402" t="s">
        <v>54</v>
      </c>
      <c r="G6" s="56" t="s">
        <v>1</v>
      </c>
      <c r="H6" s="56" t="s">
        <v>2</v>
      </c>
      <c r="I6" s="57"/>
      <c r="J6" s="402" t="s">
        <v>376</v>
      </c>
      <c r="K6" s="58" t="s">
        <v>377</v>
      </c>
    </row>
    <row r="7" spans="1:14" ht="14.25">
      <c r="D7" s="8"/>
      <c r="E7" s="402"/>
      <c r="F7" s="402"/>
      <c r="G7" s="56" t="s">
        <v>3</v>
      </c>
      <c r="H7" s="56" t="s">
        <v>56</v>
      </c>
      <c r="I7" s="57"/>
      <c r="J7" s="402" t="s">
        <v>56</v>
      </c>
      <c r="K7" s="58" t="s">
        <v>56</v>
      </c>
    </row>
    <row r="8" spans="1:14" ht="14.25">
      <c r="D8" s="8"/>
      <c r="E8" s="797" t="s">
        <v>330</v>
      </c>
      <c r="F8" s="797" t="s">
        <v>366</v>
      </c>
      <c r="G8" s="797" t="s">
        <v>472</v>
      </c>
      <c r="H8" s="1033" t="s">
        <v>473</v>
      </c>
      <c r="I8" s="48"/>
      <c r="J8" s="49" t="str">
        <f>H8</f>
        <v>2022-23</v>
      </c>
      <c r="K8" s="49" t="str">
        <f>J8</f>
        <v>2022-23</v>
      </c>
    </row>
    <row r="9" spans="1:14">
      <c r="E9" s="111"/>
      <c r="F9" s="111"/>
      <c r="G9" s="111"/>
      <c r="H9" s="143"/>
    </row>
    <row r="10" spans="1:14" ht="17.25">
      <c r="D10" s="146" t="s">
        <v>403</v>
      </c>
      <c r="E10" s="111"/>
      <c r="F10" s="111"/>
      <c r="G10" s="111"/>
      <c r="H10" s="143"/>
      <c r="I10" s="147"/>
    </row>
    <row r="11" spans="1:14">
      <c r="A11" s="788">
        <v>530</v>
      </c>
      <c r="B11" s="788">
        <v>0</v>
      </c>
      <c r="C11" s="788">
        <v>40000</v>
      </c>
      <c r="D11" s="143" t="s">
        <v>411</v>
      </c>
      <c r="E11" s="109">
        <v>43685.482676163279</v>
      </c>
      <c r="F11" s="933">
        <f>E11+E20</f>
        <v>337939.48267616326</v>
      </c>
      <c r="G11" s="933">
        <v>367161.48267616332</v>
      </c>
      <c r="H11" s="933">
        <f>F11+F19</f>
        <v>405990.48267616326</v>
      </c>
      <c r="I11" s="154"/>
      <c r="J11" s="151">
        <f>IF($M$2="Yes",H11,0)</f>
        <v>0</v>
      </c>
      <c r="K11" s="151">
        <f>IF($N$2="Yes",J11,0)</f>
        <v>0</v>
      </c>
      <c r="M11" s="971"/>
    </row>
    <row r="12" spans="1:14">
      <c r="A12" s="788">
        <v>530</v>
      </c>
      <c r="B12" s="788">
        <v>0</v>
      </c>
      <c r="C12" s="788">
        <v>40000</v>
      </c>
      <c r="D12" s="143" t="s">
        <v>410</v>
      </c>
      <c r="E12" s="109">
        <v>191901.85402269015</v>
      </c>
      <c r="F12" s="933">
        <f>E12+E21+E26-E40</f>
        <v>317836.8540226901</v>
      </c>
      <c r="G12" s="933">
        <v>214415.8540226901</v>
      </c>
      <c r="H12" s="933">
        <f>F12+F20+F31</f>
        <v>751622.8540226901</v>
      </c>
      <c r="I12" s="154"/>
      <c r="J12" s="44">
        <f t="shared" ref="J12:J15" si="0">IF($M$2="Yes",H12,0)</f>
        <v>0</v>
      </c>
      <c r="K12" s="44">
        <f t="shared" ref="K12:K15" si="1">IF($N$2="Yes",J12,0)</f>
        <v>0</v>
      </c>
      <c r="M12" s="971"/>
    </row>
    <row r="13" spans="1:14" ht="18.75" customHeight="1">
      <c r="A13" s="788">
        <v>530</v>
      </c>
      <c r="B13" s="788">
        <v>0</v>
      </c>
      <c r="C13" s="788">
        <v>40000</v>
      </c>
      <c r="D13" s="143" t="s">
        <v>412</v>
      </c>
      <c r="E13" s="109">
        <v>56228.48985172699</v>
      </c>
      <c r="F13" s="933">
        <f>E13+E22</f>
        <v>86648.48985172699</v>
      </c>
      <c r="G13" s="933">
        <v>800353.48985172703</v>
      </c>
      <c r="H13" s="933">
        <f>F13+F21</f>
        <v>609655.48985172703</v>
      </c>
      <c r="I13" s="165"/>
      <c r="J13" s="150">
        <f t="shared" si="0"/>
        <v>0</v>
      </c>
      <c r="K13" s="112">
        <f t="shared" si="1"/>
        <v>0</v>
      </c>
      <c r="M13" s="971"/>
    </row>
    <row r="14" spans="1:14">
      <c r="A14" s="788">
        <v>530</v>
      </c>
      <c r="B14" s="788">
        <v>0</v>
      </c>
      <c r="C14" s="788">
        <v>40000</v>
      </c>
      <c r="D14" s="143" t="s">
        <v>413</v>
      </c>
      <c r="E14" s="109">
        <v>10248.650265486725</v>
      </c>
      <c r="F14" s="933">
        <f>E14+E23</f>
        <v>57311.650265486722</v>
      </c>
      <c r="G14" s="933">
        <v>121643.65026548672</v>
      </c>
      <c r="H14" s="933">
        <f>F14+F22</f>
        <v>150032.65026548674</v>
      </c>
      <c r="I14" s="154"/>
      <c r="J14" s="44">
        <f t="shared" si="0"/>
        <v>0</v>
      </c>
      <c r="K14" s="44">
        <f t="shared" si="1"/>
        <v>0</v>
      </c>
      <c r="M14" s="971"/>
    </row>
    <row r="15" spans="1:14">
      <c r="A15" s="788">
        <v>530</v>
      </c>
      <c r="B15" s="788">
        <v>0</v>
      </c>
      <c r="C15" s="788">
        <v>40000</v>
      </c>
      <c r="D15" s="912" t="s">
        <v>414</v>
      </c>
      <c r="E15" s="735">
        <v>4504.6711504424784</v>
      </c>
      <c r="F15" s="735">
        <f>E15+E19</f>
        <v>70980.671150442475</v>
      </c>
      <c r="G15" s="735">
        <v>95810.671150442475</v>
      </c>
      <c r="H15" s="735">
        <f>F15+F23</f>
        <v>91903.671150442475</v>
      </c>
      <c r="I15" s="165"/>
      <c r="J15" s="112">
        <f t="shared" si="0"/>
        <v>0</v>
      </c>
      <c r="K15" s="112">
        <f t="shared" si="1"/>
        <v>0</v>
      </c>
      <c r="M15" s="971"/>
    </row>
    <row r="16" spans="1:14" s="788" customFormat="1">
      <c r="A16" s="788">
        <v>530</v>
      </c>
      <c r="B16" s="788">
        <v>0</v>
      </c>
      <c r="C16" s="788">
        <v>40000</v>
      </c>
      <c r="D16" s="912" t="s">
        <v>469</v>
      </c>
      <c r="E16" s="786">
        <v>1747</v>
      </c>
      <c r="F16" s="786">
        <v>1747</v>
      </c>
      <c r="G16" s="786">
        <v>1832</v>
      </c>
      <c r="H16" s="786">
        <f>F16</f>
        <v>1747</v>
      </c>
      <c r="I16" s="913"/>
      <c r="J16" s="729">
        <f t="shared" ref="J16" si="2">IF($M$2="Yes",H16,0)</f>
        <v>0</v>
      </c>
      <c r="K16" s="729">
        <f t="shared" ref="K16" si="3">IF($N$2="Yes",J16,0)</f>
        <v>0</v>
      </c>
      <c r="M16" s="971"/>
    </row>
    <row r="17" spans="1:12" ht="15">
      <c r="D17" s="146" t="s">
        <v>409</v>
      </c>
      <c r="E17" s="50">
        <f>SUM(E11:E16)</f>
        <v>308316.14796650968</v>
      </c>
      <c r="F17" s="50">
        <f>SUM(F11:F16)</f>
        <v>872464.14796650957</v>
      </c>
      <c r="G17" s="50">
        <f>SUM(G11:G16)</f>
        <v>1601217.1479665097</v>
      </c>
      <c r="H17" s="50">
        <f>SUM(H11:H16)</f>
        <v>2010952.1479665097</v>
      </c>
      <c r="I17" s="50"/>
      <c r="J17" s="50">
        <f>SUM(J11:J16)</f>
        <v>0</v>
      </c>
      <c r="K17" s="50">
        <f>SUM(K11:K16)</f>
        <v>0</v>
      </c>
      <c r="L17" s="788"/>
    </row>
    <row r="18" spans="1:12">
      <c r="E18" s="109"/>
      <c r="F18" s="109"/>
      <c r="G18" s="44"/>
      <c r="I18" s="154"/>
      <c r="J18" s="44"/>
      <c r="K18" s="44"/>
    </row>
    <row r="19" spans="1:12">
      <c r="A19" s="788">
        <v>530</v>
      </c>
      <c r="B19" s="788">
        <v>0</v>
      </c>
      <c r="C19" s="788">
        <v>42141</v>
      </c>
      <c r="D19" s="143" t="s">
        <v>74</v>
      </c>
      <c r="E19" s="787">
        <v>66476</v>
      </c>
      <c r="F19" s="787">
        <v>68051</v>
      </c>
      <c r="G19" s="933">
        <v>5480</v>
      </c>
      <c r="H19" s="933">
        <f t="shared" ref="H19:H25" si="4">E58*5</f>
        <v>5480</v>
      </c>
      <c r="I19" s="495">
        <v>2</v>
      </c>
      <c r="J19" s="728">
        <f t="shared" ref="J19:J26" si="5">IF($M$2="Yes",H19,0)</f>
        <v>0</v>
      </c>
      <c r="K19" s="933">
        <f t="shared" ref="K19:K26" si="6">IF($N$2="Yes",J19,0)</f>
        <v>0</v>
      </c>
      <c r="L19" s="841"/>
    </row>
    <row r="20" spans="1:12">
      <c r="A20" s="788">
        <v>530</v>
      </c>
      <c r="B20" s="788">
        <v>0</v>
      </c>
      <c r="C20" s="788">
        <v>42142</v>
      </c>
      <c r="D20" s="143" t="s">
        <v>101</v>
      </c>
      <c r="E20" s="787">
        <v>294254</v>
      </c>
      <c r="F20" s="787">
        <v>395479</v>
      </c>
      <c r="G20" s="933">
        <v>30265</v>
      </c>
      <c r="H20" s="933">
        <f t="shared" si="4"/>
        <v>30265</v>
      </c>
      <c r="I20" s="495">
        <v>2</v>
      </c>
      <c r="J20" s="109">
        <f t="shared" si="5"/>
        <v>0</v>
      </c>
      <c r="K20" s="933">
        <f t="shared" si="6"/>
        <v>0</v>
      </c>
      <c r="L20" s="841"/>
    </row>
    <row r="21" spans="1:12">
      <c r="A21" s="788">
        <v>530</v>
      </c>
      <c r="B21" s="788">
        <v>0</v>
      </c>
      <c r="C21" s="788">
        <v>42143</v>
      </c>
      <c r="D21" s="788" t="s">
        <v>102</v>
      </c>
      <c r="E21" s="787">
        <v>700935</v>
      </c>
      <c r="F21" s="787">
        <v>523007</v>
      </c>
      <c r="G21" s="933">
        <v>15675</v>
      </c>
      <c r="H21" s="933">
        <f t="shared" si="4"/>
        <v>15675</v>
      </c>
      <c r="I21" s="495">
        <v>2</v>
      </c>
      <c r="J21" s="109">
        <f t="shared" si="5"/>
        <v>0</v>
      </c>
      <c r="K21" s="933">
        <f t="shared" si="6"/>
        <v>0</v>
      </c>
      <c r="L21" s="841"/>
    </row>
    <row r="22" spans="1:12">
      <c r="A22" s="788">
        <v>530</v>
      </c>
      <c r="B22" s="788">
        <v>0</v>
      </c>
      <c r="C22" s="788">
        <v>42144</v>
      </c>
      <c r="D22" s="143" t="s">
        <v>457</v>
      </c>
      <c r="E22" s="787">
        <v>30420</v>
      </c>
      <c r="F22" s="787">
        <v>92721</v>
      </c>
      <c r="G22" s="933">
        <v>1855</v>
      </c>
      <c r="H22" s="933">
        <f t="shared" si="4"/>
        <v>1855</v>
      </c>
      <c r="I22" s="495">
        <v>2</v>
      </c>
      <c r="J22" s="109">
        <f t="shared" si="5"/>
        <v>0</v>
      </c>
      <c r="K22" s="933">
        <f t="shared" si="6"/>
        <v>0</v>
      </c>
      <c r="L22" s="841"/>
    </row>
    <row r="23" spans="1:12">
      <c r="A23" s="788">
        <v>530</v>
      </c>
      <c r="B23" s="788">
        <v>0</v>
      </c>
      <c r="C23" s="788">
        <v>42145</v>
      </c>
      <c r="D23" s="143" t="s">
        <v>90</v>
      </c>
      <c r="E23" s="787">
        <v>47063</v>
      </c>
      <c r="F23" s="787">
        <v>20923</v>
      </c>
      <c r="G23" s="933">
        <v>1585</v>
      </c>
      <c r="H23" s="933">
        <f t="shared" si="4"/>
        <v>1585</v>
      </c>
      <c r="I23" s="495">
        <v>2</v>
      </c>
      <c r="J23" s="933">
        <f t="shared" si="5"/>
        <v>0</v>
      </c>
      <c r="K23" s="933">
        <f t="shared" si="6"/>
        <v>0</v>
      </c>
      <c r="L23" s="841"/>
    </row>
    <row r="24" spans="1:12">
      <c r="A24" s="788">
        <v>530</v>
      </c>
      <c r="B24" s="788">
        <v>0</v>
      </c>
      <c r="C24" s="788">
        <v>42243</v>
      </c>
      <c r="D24" s="143" t="s">
        <v>104</v>
      </c>
      <c r="E24" s="787">
        <v>0</v>
      </c>
      <c r="F24" s="787">
        <v>0</v>
      </c>
      <c r="G24" s="933">
        <v>85</v>
      </c>
      <c r="H24" s="933">
        <f t="shared" si="4"/>
        <v>85</v>
      </c>
      <c r="I24" s="495">
        <v>2</v>
      </c>
      <c r="J24" s="109">
        <f t="shared" si="5"/>
        <v>0</v>
      </c>
      <c r="K24" s="933">
        <f t="shared" si="6"/>
        <v>0</v>
      </c>
    </row>
    <row r="25" spans="1:12">
      <c r="A25" s="788">
        <v>530</v>
      </c>
      <c r="B25" s="788">
        <v>0</v>
      </c>
      <c r="C25" s="788">
        <v>42244</v>
      </c>
      <c r="D25" s="788" t="s">
        <v>458</v>
      </c>
      <c r="E25" s="787">
        <v>0</v>
      </c>
      <c r="F25" s="787">
        <v>0</v>
      </c>
      <c r="G25" s="933">
        <v>220</v>
      </c>
      <c r="H25" s="933">
        <f t="shared" si="4"/>
        <v>220</v>
      </c>
      <c r="I25" s="495">
        <v>2</v>
      </c>
      <c r="J25" s="109">
        <f t="shared" si="5"/>
        <v>0</v>
      </c>
      <c r="K25" s="933">
        <f t="shared" si="6"/>
        <v>0</v>
      </c>
    </row>
    <row r="26" spans="1:12">
      <c r="A26" s="788">
        <v>530</v>
      </c>
      <c r="B26" s="788">
        <v>0</v>
      </c>
      <c r="C26" s="788">
        <v>46030</v>
      </c>
      <c r="D26" s="143" t="s">
        <v>106</v>
      </c>
      <c r="E26" s="781">
        <v>25000</v>
      </c>
      <c r="F26" s="781">
        <v>0</v>
      </c>
      <c r="G26" s="786">
        <v>4372.7999999999993</v>
      </c>
      <c r="H26" s="786">
        <f>E66*5</f>
        <v>4372.7999999999993</v>
      </c>
      <c r="I26" s="495">
        <v>1</v>
      </c>
      <c r="J26" s="729">
        <f t="shared" si="5"/>
        <v>0</v>
      </c>
      <c r="K26" s="786">
        <f t="shared" si="6"/>
        <v>0</v>
      </c>
      <c r="L26" s="788"/>
    </row>
    <row r="27" spans="1:12" ht="14.25" hidden="1">
      <c r="D27" s="143" t="s">
        <v>79</v>
      </c>
      <c r="E27" s="790">
        <v>0</v>
      </c>
      <c r="F27" s="790">
        <v>0</v>
      </c>
      <c r="G27" s="790">
        <v>0</v>
      </c>
      <c r="H27" s="790">
        <v>0</v>
      </c>
      <c r="I27" s="150"/>
      <c r="J27" s="230">
        <f t="shared" ref="J27" si="7">IF($M$2="Yes",H27,0)</f>
        <v>0</v>
      </c>
      <c r="K27" s="52">
        <f t="shared" ref="K27" si="8">IF($N$2="Yes",J27,0)</f>
        <v>0</v>
      </c>
    </row>
    <row r="28" spans="1:12" ht="15">
      <c r="D28" s="146" t="s">
        <v>107</v>
      </c>
      <c r="E28" s="50">
        <f>SUM(E19:E27)</f>
        <v>1164148</v>
      </c>
      <c r="F28" s="50">
        <f>SUM(F19:F27)</f>
        <v>1100181</v>
      </c>
      <c r="G28" s="50">
        <f>SUM(G19:G27)</f>
        <v>59537.8</v>
      </c>
      <c r="H28" s="50">
        <f>SUM(H19:H27)</f>
        <v>59537.8</v>
      </c>
      <c r="I28" s="158"/>
      <c r="J28" s="783">
        <f>SUM(J19:J27)</f>
        <v>0</v>
      </c>
      <c r="K28" s="783">
        <f>SUM(K19:K27)</f>
        <v>0</v>
      </c>
    </row>
    <row r="29" spans="1:12" s="788" customFormat="1" ht="15">
      <c r="D29" s="146"/>
      <c r="E29" s="783"/>
      <c r="F29" s="783"/>
      <c r="G29" s="783"/>
      <c r="H29" s="783"/>
      <c r="I29" s="158"/>
      <c r="J29" s="783"/>
      <c r="K29" s="783"/>
    </row>
    <row r="30" spans="1:12" s="788" customFormat="1" ht="15">
      <c r="D30" s="146" t="s">
        <v>192</v>
      </c>
      <c r="E30" s="783"/>
      <c r="F30" s="783"/>
      <c r="G30" s="783"/>
      <c r="H30" s="783"/>
      <c r="I30" s="158"/>
      <c r="J30" s="783"/>
      <c r="K30" s="783"/>
    </row>
    <row r="31" spans="1:12" s="788" customFormat="1" ht="14.25">
      <c r="A31" s="788">
        <v>530</v>
      </c>
      <c r="B31" s="788">
        <v>0</v>
      </c>
      <c r="C31" s="788">
        <v>49100</v>
      </c>
      <c r="D31" s="859" t="s">
        <v>498</v>
      </c>
      <c r="E31" s="781">
        <v>0</v>
      </c>
      <c r="F31" s="781">
        <v>38307</v>
      </c>
      <c r="G31" s="781">
        <v>38307</v>
      </c>
      <c r="H31" s="781">
        <f>'Combined GF Revenues'!H64</f>
        <v>38307</v>
      </c>
      <c r="I31" s="787"/>
      <c r="J31" s="230">
        <f t="shared" ref="J31" si="9">IF($M$2="Yes",H31,0)</f>
        <v>0</v>
      </c>
      <c r="K31" s="52">
        <f>IF($N$2="Yes",J31,0)</f>
        <v>0</v>
      </c>
    </row>
    <row r="32" spans="1:12" ht="15.75" thickBot="1">
      <c r="D32" s="146"/>
      <c r="E32" s="157"/>
      <c r="F32" s="157"/>
      <c r="G32" s="157"/>
      <c r="H32" s="157"/>
      <c r="I32" s="50"/>
      <c r="J32" s="157"/>
      <c r="K32" s="157"/>
    </row>
    <row r="33" spans="1:11" ht="15.75" thickTop="1">
      <c r="D33" s="146" t="s">
        <v>408</v>
      </c>
      <c r="E33" s="50">
        <f>E17+E28+E31</f>
        <v>1472464.1479665097</v>
      </c>
      <c r="F33" s="783">
        <f>F17+F28+F31</f>
        <v>2010952.1479665097</v>
      </c>
      <c r="G33" s="783">
        <f t="shared" ref="G33:H33" si="10">G17+G28+G31</f>
        <v>1699061.9479665097</v>
      </c>
      <c r="H33" s="783">
        <f t="shared" si="10"/>
        <v>2108796.9479665095</v>
      </c>
      <c r="I33" s="50"/>
      <c r="J33" s="783">
        <f t="shared" ref="J33" si="11">J17+J28+J31</f>
        <v>0</v>
      </c>
      <c r="K33" s="783">
        <f>K17+K28+K31</f>
        <v>0</v>
      </c>
    </row>
    <row r="34" spans="1:11">
      <c r="E34" s="109"/>
      <c r="F34" s="44"/>
      <c r="G34" s="44"/>
      <c r="I34" s="155"/>
      <c r="J34" s="44"/>
      <c r="K34" s="44"/>
    </row>
    <row r="35" spans="1:11" s="788" customFormat="1" ht="14.25">
      <c r="D35" s="5" t="s">
        <v>48</v>
      </c>
      <c r="E35" s="360"/>
      <c r="F35" s="365"/>
      <c r="G35" s="356"/>
      <c r="H35" s="710"/>
      <c r="I35" s="711"/>
      <c r="J35" s="362"/>
      <c r="K35" s="710"/>
    </row>
    <row r="36" spans="1:11" s="788" customFormat="1" ht="14.25">
      <c r="A36" s="788">
        <v>530</v>
      </c>
      <c r="B36" s="788">
        <v>420</v>
      </c>
      <c r="C36" s="788">
        <v>52020</v>
      </c>
      <c r="D36" s="779" t="s">
        <v>380</v>
      </c>
      <c r="E36" s="879">
        <v>0</v>
      </c>
      <c r="F36" s="879">
        <v>0</v>
      </c>
      <c r="G36" s="879">
        <v>0</v>
      </c>
      <c r="H36" s="879">
        <v>0</v>
      </c>
      <c r="I36" s="442"/>
      <c r="J36" s="708">
        <f t="shared" ref="J36" si="12">IF($M$2="Yes",H36,0)</f>
        <v>0</v>
      </c>
      <c r="K36" s="879">
        <f t="shared" ref="K36" si="13">IF($N$2="Yes",J36,0)</f>
        <v>0</v>
      </c>
    </row>
    <row r="37" spans="1:11" s="788" customFormat="1">
      <c r="E37" s="933"/>
      <c r="F37" s="728"/>
      <c r="G37" s="728"/>
      <c r="H37" s="111"/>
      <c r="I37" s="155"/>
      <c r="J37" s="728"/>
      <c r="K37" s="728"/>
    </row>
    <row r="38" spans="1:11">
      <c r="E38" s="109"/>
      <c r="F38" s="44"/>
      <c r="G38" s="44"/>
      <c r="I38" s="155"/>
      <c r="J38" s="44"/>
      <c r="K38" s="44"/>
    </row>
    <row r="39" spans="1:11" ht="17.25">
      <c r="D39" s="146" t="s">
        <v>108</v>
      </c>
      <c r="E39" s="109"/>
      <c r="F39" s="44"/>
      <c r="G39" s="44"/>
      <c r="I39" s="155"/>
      <c r="J39" s="44"/>
      <c r="K39" s="44"/>
    </row>
    <row r="40" spans="1:11">
      <c r="A40" s="788">
        <v>530</v>
      </c>
      <c r="B40" s="788">
        <v>100</v>
      </c>
      <c r="C40" s="788">
        <v>55100</v>
      </c>
      <c r="D40" s="143" t="s">
        <v>505</v>
      </c>
      <c r="E40" s="729">
        <v>600000</v>
      </c>
      <c r="F40" s="729">
        <v>0</v>
      </c>
      <c r="G40" s="729">
        <v>0</v>
      </c>
      <c r="H40" s="729">
        <v>0</v>
      </c>
      <c r="I40" s="155"/>
      <c r="J40" s="729">
        <f t="shared" ref="J40:J44" si="14">IF($M$2="Yes",H40,0)</f>
        <v>0</v>
      </c>
      <c r="K40" s="729">
        <f t="shared" ref="K40:K44" si="15">IF($N$2="Yes",J40,0)</f>
        <v>0</v>
      </c>
    </row>
    <row r="41" spans="1:11" hidden="1">
      <c r="D41" s="143" t="s">
        <v>109</v>
      </c>
      <c r="E41" s="113">
        <v>0</v>
      </c>
      <c r="F41" s="113">
        <v>0</v>
      </c>
      <c r="G41" s="113">
        <v>0</v>
      </c>
      <c r="H41" s="113">
        <v>0</v>
      </c>
      <c r="I41" s="155"/>
      <c r="J41" s="113">
        <f t="shared" si="14"/>
        <v>0</v>
      </c>
      <c r="K41" s="113">
        <f t="shared" si="15"/>
        <v>0</v>
      </c>
    </row>
    <row r="42" spans="1:11" hidden="1">
      <c r="D42" s="143" t="s">
        <v>112</v>
      </c>
      <c r="E42" s="113">
        <v>0</v>
      </c>
      <c r="F42" s="113">
        <v>0</v>
      </c>
      <c r="G42" s="113">
        <v>0</v>
      </c>
      <c r="H42" s="113">
        <v>0</v>
      </c>
      <c r="I42" s="155"/>
      <c r="J42" s="113">
        <f t="shared" si="14"/>
        <v>0</v>
      </c>
      <c r="K42" s="113">
        <f t="shared" si="15"/>
        <v>0</v>
      </c>
    </row>
    <row r="43" spans="1:11" hidden="1">
      <c r="D43" s="143" t="s">
        <v>110</v>
      </c>
      <c r="E43" s="109">
        <v>0</v>
      </c>
      <c r="F43" s="109">
        <v>0</v>
      </c>
      <c r="G43" s="109">
        <v>0</v>
      </c>
      <c r="H43" s="109">
        <v>0</v>
      </c>
      <c r="I43" s="155"/>
      <c r="J43" s="109">
        <f t="shared" si="14"/>
        <v>0</v>
      </c>
      <c r="K43" s="109">
        <f t="shared" si="15"/>
        <v>0</v>
      </c>
    </row>
    <row r="44" spans="1:11" hidden="1">
      <c r="D44" s="143" t="s">
        <v>111</v>
      </c>
      <c r="E44" s="45">
        <v>0</v>
      </c>
      <c r="F44" s="45">
        <v>0</v>
      </c>
      <c r="G44" s="45">
        <v>0</v>
      </c>
      <c r="H44" s="45">
        <v>0</v>
      </c>
      <c r="I44" s="155"/>
      <c r="J44" s="45">
        <f t="shared" si="14"/>
        <v>0</v>
      </c>
      <c r="K44" s="45">
        <f t="shared" si="15"/>
        <v>0</v>
      </c>
    </row>
    <row r="45" spans="1:11" ht="15">
      <c r="D45" s="146" t="s">
        <v>113</v>
      </c>
      <c r="E45" s="158">
        <f>SUM(E40:E44)</f>
        <v>600000</v>
      </c>
      <c r="F45" s="158">
        <f t="shared" ref="F45:K45" si="16">SUM(F40:F44)</f>
        <v>0</v>
      </c>
      <c r="G45" s="158">
        <f t="shared" si="16"/>
        <v>0</v>
      </c>
      <c r="H45" s="158">
        <f t="shared" si="16"/>
        <v>0</v>
      </c>
      <c r="I45" s="158"/>
      <c r="J45" s="158">
        <f t="shared" si="16"/>
        <v>0</v>
      </c>
      <c r="K45" s="158">
        <f t="shared" si="16"/>
        <v>0</v>
      </c>
    </row>
    <row r="46" spans="1:11" ht="18" thickBot="1">
      <c r="D46" s="146"/>
      <c r="E46" s="158"/>
      <c r="F46" s="158"/>
      <c r="G46" s="158"/>
      <c r="H46" s="158"/>
      <c r="I46" s="155"/>
      <c r="J46" s="158"/>
      <c r="K46" s="158"/>
    </row>
    <row r="47" spans="1:11" ht="18" thickTop="1">
      <c r="D47" s="146" t="s">
        <v>28</v>
      </c>
      <c r="E47" s="160">
        <f>+E45+E36</f>
        <v>600000</v>
      </c>
      <c r="F47" s="160">
        <f t="shared" ref="F47:H47" si="17">+F45+F36</f>
        <v>0</v>
      </c>
      <c r="G47" s="160">
        <f t="shared" si="17"/>
        <v>0</v>
      </c>
      <c r="H47" s="160">
        <f t="shared" si="17"/>
        <v>0</v>
      </c>
      <c r="I47" s="155"/>
      <c r="J47" s="160">
        <f t="shared" ref="J47:K47" si="18">+J45+J36</f>
        <v>0</v>
      </c>
      <c r="K47" s="160">
        <f t="shared" si="18"/>
        <v>0</v>
      </c>
    </row>
    <row r="48" spans="1:11" ht="17.25">
      <c r="D48" s="146"/>
      <c r="E48" s="158"/>
      <c r="F48" s="158"/>
      <c r="G48" s="158"/>
      <c r="I48" s="155"/>
      <c r="J48" s="158"/>
      <c r="K48" s="158"/>
    </row>
    <row r="49" spans="1:11" s="28" customFormat="1" ht="17.25">
      <c r="A49" s="28">
        <v>530</v>
      </c>
      <c r="B49" s="28">
        <v>998</v>
      </c>
      <c r="C49" s="28">
        <v>58000</v>
      </c>
      <c r="D49" s="42" t="s">
        <v>245</v>
      </c>
      <c r="E49" s="109">
        <v>0</v>
      </c>
      <c r="F49" s="109">
        <v>0</v>
      </c>
      <c r="G49" s="109">
        <v>0</v>
      </c>
      <c r="H49" s="109">
        <v>0</v>
      </c>
      <c r="I49" s="46"/>
      <c r="J49" s="109">
        <f>IF($M$2="Yes",H49,0)</f>
        <v>0</v>
      </c>
      <c r="K49" s="109">
        <f>IF($N$2="Yes",J49,0)</f>
        <v>0</v>
      </c>
    </row>
    <row r="50" spans="1:11" ht="17.25">
      <c r="D50" s="146"/>
      <c r="E50" s="151"/>
      <c r="F50" s="44"/>
      <c r="G50" s="44"/>
      <c r="I50" s="159"/>
      <c r="J50" s="151"/>
      <c r="K50" s="44"/>
    </row>
    <row r="51" spans="1:11" ht="17.25">
      <c r="A51" s="788">
        <v>530</v>
      </c>
      <c r="B51" s="788">
        <v>999</v>
      </c>
      <c r="C51" s="788">
        <v>59000</v>
      </c>
      <c r="D51" s="146" t="s">
        <v>401</v>
      </c>
      <c r="E51" s="109">
        <f>E33-E47</f>
        <v>872464.14796650968</v>
      </c>
      <c r="F51" s="109">
        <f t="shared" ref="F51:H51" si="19">F33-F47</f>
        <v>2010952.1479665097</v>
      </c>
      <c r="G51" s="109">
        <f t="shared" si="19"/>
        <v>1699061.9479665097</v>
      </c>
      <c r="H51" s="109">
        <f t="shared" si="19"/>
        <v>2108796.9479665095</v>
      </c>
      <c r="I51" s="155"/>
      <c r="J51" s="109">
        <f t="shared" ref="J51:K51" si="20">J33-J47</f>
        <v>0</v>
      </c>
      <c r="K51" s="109">
        <f t="shared" si="20"/>
        <v>0</v>
      </c>
    </row>
    <row r="52" spans="1:11" ht="7.9" customHeight="1">
      <c r="D52" s="146"/>
      <c r="E52" s="109"/>
      <c r="F52" s="109"/>
      <c r="G52" s="109"/>
      <c r="H52" s="109"/>
      <c r="I52" s="155"/>
      <c r="J52" s="50"/>
      <c r="K52" s="50"/>
    </row>
    <row r="53" spans="1:11" s="378" customFormat="1" ht="14.25">
      <c r="D53" s="378" t="s">
        <v>368</v>
      </c>
      <c r="E53" s="379"/>
      <c r="F53" s="379"/>
      <c r="G53" s="379"/>
      <c r="H53" s="379"/>
      <c r="I53" s="380"/>
      <c r="J53" s="381"/>
      <c r="K53" s="381"/>
    </row>
    <row r="54" spans="1:11" s="378" customFormat="1" ht="14.25">
      <c r="D54" s="378" t="s">
        <v>506</v>
      </c>
      <c r="E54" s="379"/>
      <c r="F54" s="379"/>
      <c r="G54" s="379"/>
      <c r="H54" s="379"/>
      <c r="I54" s="380"/>
      <c r="J54" s="381"/>
      <c r="K54" s="381"/>
    </row>
    <row r="55" spans="1:11" s="378" customFormat="1" ht="14.25">
      <c r="E55" s="379"/>
      <c r="F55" s="379"/>
      <c r="G55" s="379"/>
      <c r="H55" s="379"/>
      <c r="I55" s="380"/>
      <c r="J55" s="381"/>
      <c r="K55" s="381"/>
    </row>
    <row r="56" spans="1:11" ht="17.25">
      <c r="D56" s="196" t="s">
        <v>369</v>
      </c>
      <c r="E56" s="109"/>
      <c r="F56" s="109"/>
      <c r="G56" s="109"/>
      <c r="H56" s="109"/>
      <c r="I56" s="155"/>
      <c r="J56" s="50"/>
      <c r="K56" s="50"/>
    </row>
    <row r="57" spans="1:11" ht="7.9" customHeight="1"/>
    <row r="58" spans="1:11">
      <c r="D58" s="191" t="s">
        <v>101</v>
      </c>
      <c r="E58" s="371">
        <v>1096</v>
      </c>
      <c r="F58" s="192"/>
      <c r="G58" s="111"/>
    </row>
    <row r="59" spans="1:11">
      <c r="D59" s="191" t="s">
        <v>102</v>
      </c>
      <c r="E59" s="371">
        <v>6053</v>
      </c>
      <c r="F59" s="193"/>
      <c r="G59" s="144"/>
      <c r="H59" s="144"/>
    </row>
    <row r="60" spans="1:11">
      <c r="D60" s="191" t="s">
        <v>103</v>
      </c>
      <c r="E60" s="371">
        <v>3135</v>
      </c>
      <c r="F60" s="194"/>
      <c r="G60" s="148"/>
      <c r="H60" s="148"/>
    </row>
    <row r="61" spans="1:11">
      <c r="D61" s="191" t="s">
        <v>90</v>
      </c>
      <c r="E61" s="371">
        <v>371</v>
      </c>
      <c r="F61" s="195" t="s">
        <v>362</v>
      </c>
      <c r="H61" s="144"/>
    </row>
    <row r="62" spans="1:11">
      <c r="D62" s="191" t="s">
        <v>74</v>
      </c>
      <c r="E62" s="371">
        <v>317</v>
      </c>
      <c r="F62" s="192"/>
      <c r="G62" s="191"/>
    </row>
    <row r="63" spans="1:11">
      <c r="D63" s="191" t="s">
        <v>104</v>
      </c>
      <c r="E63" s="371">
        <v>17</v>
      </c>
      <c r="F63" s="192"/>
    </row>
    <row r="64" spans="1:11">
      <c r="D64" s="191" t="s">
        <v>105</v>
      </c>
      <c r="E64" s="372">
        <v>44</v>
      </c>
      <c r="F64" s="192"/>
    </row>
    <row r="65" spans="4:9" ht="12" customHeight="1">
      <c r="D65" s="196" t="s">
        <v>150</v>
      </c>
      <c r="E65" s="99">
        <f>SUM(E58:E64)</f>
        <v>11033</v>
      </c>
      <c r="F65" s="192"/>
    </row>
    <row r="66" spans="4:9" ht="17.25" thickBot="1">
      <c r="D66" s="191" t="s">
        <v>314</v>
      </c>
      <c r="E66" s="373">
        <v>874.56</v>
      </c>
    </row>
    <row r="67" spans="4:9" ht="17.25" thickTop="1">
      <c r="E67" s="374">
        <f>SUM(E65:E66)</f>
        <v>11907.56</v>
      </c>
    </row>
    <row r="68" spans="4:9" ht="14.25">
      <c r="F68" s="143"/>
      <c r="H68" s="143"/>
      <c r="I68" s="143"/>
    </row>
    <row r="69" spans="4:9" ht="15">
      <c r="D69" s="146"/>
      <c r="E69" s="841"/>
      <c r="F69" s="143"/>
      <c r="H69" s="143"/>
      <c r="I69" s="143"/>
    </row>
    <row r="73" spans="4:9">
      <c r="E73" s="148"/>
    </row>
    <row r="74" spans="4:9">
      <c r="E74" s="148"/>
    </row>
    <row r="75" spans="4:9">
      <c r="E75" s="148"/>
    </row>
    <row r="76" spans="4:9">
      <c r="E76" s="148"/>
    </row>
    <row r="77" spans="4:9">
      <c r="E77" s="148"/>
    </row>
    <row r="78" spans="4:9">
      <c r="E78" s="148"/>
    </row>
    <row r="79" spans="4:9">
      <c r="E79" s="148"/>
    </row>
    <row r="80" spans="4:9">
      <c r="E80" s="148"/>
    </row>
    <row r="81" spans="5:5">
      <c r="E81" s="148"/>
    </row>
    <row r="82" spans="5:5">
      <c r="E82" s="148"/>
    </row>
    <row r="83" spans="5:5">
      <c r="E83" s="148"/>
    </row>
    <row r="84" spans="5:5">
      <c r="E84" s="148"/>
    </row>
  </sheetData>
  <sortState ref="A19:K26">
    <sortCondition ref="C19:C26"/>
  </sortState>
  <mergeCells count="3">
    <mergeCell ref="D1:K1"/>
    <mergeCell ref="D4:K4"/>
    <mergeCell ref="D2:K2"/>
  </mergeCells>
  <phoneticPr fontId="0" type="noConversion"/>
  <printOptions horizontalCentered="1"/>
  <pageMargins left="0.7" right="0.7" top="0.75" bottom="0.75" header="0.3" footer="0.3"/>
  <pageSetup scale="66" orientation="portrait" r:id="rId1"/>
  <headerFooter>
    <oddHeader>&amp;C&amp;A</oddHeader>
    <oddFooter>&amp;C&amp;F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1"/>
  <sheetViews>
    <sheetView zoomScale="75" zoomScaleNormal="75" zoomScalePageLayoutView="75" workbookViewId="0">
      <pane xSplit="4" ySplit="8" topLeftCell="E9" activePane="bottomRight" state="frozen"/>
      <selection pane="topRight" activeCell="B1" sqref="B1"/>
      <selection pane="bottomLeft" activeCell="A9" sqref="A9"/>
      <selection pane="bottomRight" activeCell="H8" sqref="H8"/>
    </sheetView>
  </sheetViews>
  <sheetFormatPr defaultColWidth="14.7109375" defaultRowHeight="18"/>
  <cols>
    <col min="1" max="3" width="10.7109375" style="28" customWidth="1"/>
    <col min="4" max="4" width="41.42578125" style="1" customWidth="1"/>
    <col min="5" max="7" width="14" style="1" customWidth="1"/>
    <col min="8" max="8" width="14" style="561" customWidth="1"/>
    <col min="9" max="9" width="1.7109375" style="2" customWidth="1"/>
    <col min="10" max="11" width="14" style="1" customWidth="1"/>
  </cols>
  <sheetData>
    <row r="1" spans="1:14" ht="15.75">
      <c r="D1" s="1075" t="s">
        <v>0</v>
      </c>
      <c r="E1" s="1075"/>
      <c r="F1" s="1075"/>
      <c r="G1" s="1075"/>
      <c r="H1" s="1075"/>
      <c r="I1" s="1075"/>
      <c r="J1" s="1075"/>
      <c r="K1" s="1075"/>
      <c r="M1" s="205" t="s">
        <v>381</v>
      </c>
      <c r="N1" s="205" t="s">
        <v>382</v>
      </c>
    </row>
    <row r="2" spans="1:14" ht="15">
      <c r="D2" s="1093" t="str">
        <f>'Storm Drain'!D2:K2</f>
        <v>FISCAL YEAR 2022-2023</v>
      </c>
      <c r="E2" s="1093"/>
      <c r="F2" s="1093"/>
      <c r="G2" s="1093"/>
      <c r="H2" s="1093"/>
      <c r="I2" s="1093"/>
      <c r="J2" s="1093"/>
      <c r="K2" s="1093"/>
      <c r="M2" s="792" t="s">
        <v>568</v>
      </c>
      <c r="N2" s="780" t="s">
        <v>568</v>
      </c>
    </row>
    <row r="3" spans="1:14">
      <c r="D3" s="93"/>
      <c r="E3" s="93"/>
      <c r="F3" s="93"/>
      <c r="G3" s="93"/>
      <c r="H3" s="94"/>
      <c r="I3" s="24"/>
      <c r="J3" s="93"/>
      <c r="K3" s="93"/>
    </row>
    <row r="4" spans="1:14" ht="12.75">
      <c r="D4" s="1083" t="s">
        <v>306</v>
      </c>
      <c r="E4" s="1083"/>
      <c r="F4" s="1083"/>
      <c r="G4" s="1083"/>
      <c r="H4" s="1083"/>
      <c r="I4" s="1083"/>
      <c r="J4" s="1083"/>
      <c r="K4" s="1083"/>
    </row>
    <row r="5" spans="1:14" ht="15">
      <c r="D5" s="93"/>
      <c r="E5" s="93"/>
      <c r="F5" s="93"/>
      <c r="G5" s="93"/>
      <c r="H5" s="94"/>
      <c r="I5" s="36"/>
      <c r="J5" s="93"/>
      <c r="K5" s="93"/>
    </row>
    <row r="6" spans="1:14" ht="15.75">
      <c r="D6" s="543"/>
      <c r="E6" s="544" t="s">
        <v>54</v>
      </c>
      <c r="F6" s="544" t="s">
        <v>54</v>
      </c>
      <c r="G6" s="545" t="s">
        <v>1</v>
      </c>
      <c r="H6" s="545" t="s">
        <v>2</v>
      </c>
      <c r="I6" s="57"/>
      <c r="J6" s="544" t="s">
        <v>376</v>
      </c>
      <c r="K6" s="547" t="s">
        <v>377</v>
      </c>
      <c r="L6" s="17"/>
      <c r="M6" s="17"/>
      <c r="N6" s="17"/>
    </row>
    <row r="7" spans="1:14" ht="15.75">
      <c r="D7" s="543"/>
      <c r="E7" s="544"/>
      <c r="F7" s="544"/>
      <c r="G7" s="545" t="s">
        <v>3</v>
      </c>
      <c r="H7" s="545" t="s">
        <v>56</v>
      </c>
      <c r="I7" s="57"/>
      <c r="J7" s="544" t="s">
        <v>56</v>
      </c>
      <c r="K7" s="547" t="s">
        <v>56</v>
      </c>
      <c r="L7" s="17"/>
      <c r="M7" s="17"/>
      <c r="N7" s="17"/>
    </row>
    <row r="8" spans="1:14" s="39" customFormat="1" ht="15.75">
      <c r="A8" s="28"/>
      <c r="B8" s="28"/>
      <c r="C8" s="28"/>
      <c r="D8" s="543"/>
      <c r="E8" s="549" t="s">
        <v>330</v>
      </c>
      <c r="F8" s="549" t="s">
        <v>366</v>
      </c>
      <c r="G8" s="549" t="s">
        <v>472</v>
      </c>
      <c r="H8" s="1021" t="s">
        <v>473</v>
      </c>
      <c r="I8" s="48"/>
      <c r="J8" s="548" t="str">
        <f>H8</f>
        <v>2022-23</v>
      </c>
      <c r="K8" s="548" t="str">
        <f>J8</f>
        <v>2022-23</v>
      </c>
    </row>
    <row r="9" spans="1:14">
      <c r="E9" s="561"/>
      <c r="F9" s="561"/>
      <c r="G9" s="561"/>
      <c r="L9" s="17"/>
      <c r="M9" s="17"/>
      <c r="N9" s="17"/>
    </row>
    <row r="10" spans="1:14" s="39" customFormat="1" ht="17.25">
      <c r="A10" s="28"/>
      <c r="B10" s="28"/>
      <c r="C10" s="28"/>
      <c r="D10" s="3" t="s">
        <v>403</v>
      </c>
      <c r="E10" s="561"/>
      <c r="F10" s="561"/>
      <c r="G10" s="561"/>
      <c r="H10" s="561"/>
      <c r="I10" s="41"/>
      <c r="J10" s="1"/>
      <c r="K10" s="1"/>
      <c r="L10" s="37"/>
      <c r="M10" s="37"/>
      <c r="N10" s="37"/>
    </row>
    <row r="11" spans="1:14" s="28" customFormat="1" ht="16.5">
      <c r="A11" s="28">
        <v>600</v>
      </c>
      <c r="B11" s="28">
        <v>0</v>
      </c>
      <c r="C11" s="28">
        <v>40000</v>
      </c>
      <c r="D11" s="1" t="s">
        <v>6</v>
      </c>
      <c r="E11" s="331">
        <v>121914</v>
      </c>
      <c r="F11" s="331">
        <f>E46</f>
        <v>114496</v>
      </c>
      <c r="G11" s="331">
        <v>108300</v>
      </c>
      <c r="H11" s="331">
        <v>107300</v>
      </c>
      <c r="I11" s="349"/>
      <c r="J11" s="556">
        <f>IF($M$2="Yes",H11,0)</f>
        <v>0</v>
      </c>
      <c r="K11" s="556">
        <f>IF($N$2="Yes",J11,0)</f>
        <v>0</v>
      </c>
      <c r="L11" s="19"/>
      <c r="M11" s="19"/>
      <c r="N11" s="19"/>
    </row>
    <row r="12" spans="1:14" s="28" customFormat="1" ht="15" hidden="1">
      <c r="D12" s="1" t="s">
        <v>79</v>
      </c>
      <c r="E12" s="331">
        <v>0</v>
      </c>
      <c r="F12" s="331">
        <v>0</v>
      </c>
      <c r="G12" s="331">
        <v>0</v>
      </c>
      <c r="H12" s="331">
        <v>0</v>
      </c>
      <c r="I12" s="328">
        <v>0</v>
      </c>
      <c r="J12" s="331">
        <f t="shared" ref="J12:J20" si="0">IF($M$2="Yes",H12,0)</f>
        <v>0</v>
      </c>
      <c r="K12" s="331">
        <f t="shared" ref="K12:K20" si="1">IF($N$2="Yes",J12,0)</f>
        <v>0</v>
      </c>
      <c r="L12" s="19"/>
      <c r="M12" s="19"/>
      <c r="N12" s="19"/>
    </row>
    <row r="13" spans="1:14" s="28" customFormat="1" ht="15">
      <c r="D13" s="1"/>
      <c r="E13" s="331"/>
      <c r="F13" s="331"/>
      <c r="G13" s="331"/>
      <c r="H13" s="331"/>
      <c r="I13" s="328"/>
      <c r="J13" s="331"/>
      <c r="K13" s="331"/>
    </row>
    <row r="14" spans="1:14" s="39" customFormat="1" ht="15.75">
      <c r="A14" s="28"/>
      <c r="B14" s="28"/>
      <c r="C14" s="28"/>
      <c r="D14" s="612" t="s">
        <v>192</v>
      </c>
      <c r="E14" s="331"/>
      <c r="F14" s="331"/>
      <c r="G14" s="331"/>
      <c r="H14" s="331"/>
      <c r="I14" s="328">
        <v>0</v>
      </c>
      <c r="J14" s="331"/>
      <c r="K14" s="331"/>
      <c r="L14" s="39" t="s">
        <v>80</v>
      </c>
    </row>
    <row r="15" spans="1:14" s="28" customFormat="1" ht="15">
      <c r="A15" s="28">
        <v>600</v>
      </c>
      <c r="B15" s="28">
        <v>0</v>
      </c>
      <c r="C15" s="28">
        <v>49100</v>
      </c>
      <c r="D15" s="1" t="s">
        <v>81</v>
      </c>
      <c r="E15" s="331">
        <v>5000</v>
      </c>
      <c r="F15" s="331">
        <v>5000</v>
      </c>
      <c r="G15" s="331">
        <v>5000</v>
      </c>
      <c r="H15" s="331">
        <f>'Combined GF Revenues'!H66+'Combined GF Revenues'!H67+'Combined GF Revenues'!H68</f>
        <v>5000</v>
      </c>
      <c r="I15" s="328">
        <v>0</v>
      </c>
      <c r="J15" s="331">
        <f t="shared" si="0"/>
        <v>0</v>
      </c>
      <c r="K15" s="331">
        <f t="shared" si="1"/>
        <v>0</v>
      </c>
    </row>
    <row r="16" spans="1:14" s="28" customFormat="1" ht="15">
      <c r="A16" s="28">
        <v>600</v>
      </c>
      <c r="B16" s="28">
        <v>0</v>
      </c>
      <c r="C16" s="28">
        <v>49200</v>
      </c>
      <c r="D16" s="1" t="s">
        <v>193</v>
      </c>
      <c r="E16" s="331">
        <v>200</v>
      </c>
      <c r="F16" s="331">
        <v>200</v>
      </c>
      <c r="G16" s="331">
        <v>200</v>
      </c>
      <c r="H16" s="331">
        <f>Street!H52+Street!H54</f>
        <v>200</v>
      </c>
      <c r="I16" s="328"/>
      <c r="J16" s="331">
        <f t="shared" ref="J16:J19" si="2">IF($M$2="Yes",H16,0)</f>
        <v>0</v>
      </c>
      <c r="K16" s="331">
        <f t="shared" ref="K16:K19" si="3">IF($N$2="Yes",J16,0)</f>
        <v>0</v>
      </c>
    </row>
    <row r="17" spans="1:14" s="28" customFormat="1" ht="15">
      <c r="A17" s="28">
        <v>600</v>
      </c>
      <c r="B17" s="28">
        <v>0</v>
      </c>
      <c r="C17" s="28">
        <v>49500</v>
      </c>
      <c r="D17" s="1" t="s">
        <v>287</v>
      </c>
      <c r="E17" s="331">
        <v>3200</v>
      </c>
      <c r="F17" s="331">
        <v>3200</v>
      </c>
      <c r="G17" s="331">
        <v>400</v>
      </c>
      <c r="H17" s="331">
        <f>Wastewater!H78+Wastewater!H81</f>
        <v>1000</v>
      </c>
      <c r="I17" s="328">
        <v>0</v>
      </c>
      <c r="J17" s="331">
        <f t="shared" si="2"/>
        <v>0</v>
      </c>
      <c r="K17" s="331">
        <f t="shared" si="3"/>
        <v>0</v>
      </c>
    </row>
    <row r="18" spans="1:14" s="28" customFormat="1" ht="15">
      <c r="A18" s="28">
        <v>600</v>
      </c>
      <c r="B18" s="28">
        <v>0</v>
      </c>
      <c r="C18" s="28">
        <v>49510</v>
      </c>
      <c r="D18" s="1" t="s">
        <v>82</v>
      </c>
      <c r="E18" s="331">
        <v>400</v>
      </c>
      <c r="F18" s="331">
        <v>400</v>
      </c>
      <c r="G18" s="331">
        <v>3200</v>
      </c>
      <c r="H18" s="331">
        <f>Water!H83+Water!H84</f>
        <v>3200</v>
      </c>
      <c r="I18" s="328">
        <v>0</v>
      </c>
      <c r="J18" s="331">
        <f t="shared" si="2"/>
        <v>0</v>
      </c>
      <c r="K18" s="331">
        <f t="shared" si="3"/>
        <v>0</v>
      </c>
    </row>
    <row r="19" spans="1:14" s="28" customFormat="1" ht="15">
      <c r="A19" s="28">
        <v>600</v>
      </c>
      <c r="B19" s="28">
        <v>0</v>
      </c>
      <c r="C19" s="28">
        <v>49520</v>
      </c>
      <c r="D19" s="1" t="s">
        <v>184</v>
      </c>
      <c r="E19" s="383">
        <v>200</v>
      </c>
      <c r="F19" s="383">
        <v>0</v>
      </c>
      <c r="G19" s="383">
        <v>200</v>
      </c>
      <c r="H19" s="383">
        <v>200</v>
      </c>
      <c r="I19" s="328"/>
      <c r="J19" s="383">
        <f t="shared" si="2"/>
        <v>0</v>
      </c>
      <c r="K19" s="383">
        <f t="shared" si="3"/>
        <v>0</v>
      </c>
    </row>
    <row r="20" spans="1:14" s="28" customFormat="1" ht="15" hidden="1">
      <c r="D20" s="1" t="s">
        <v>246</v>
      </c>
      <c r="E20" s="383">
        <v>0</v>
      </c>
      <c r="F20" s="383">
        <v>0</v>
      </c>
      <c r="G20" s="383">
        <v>0</v>
      </c>
      <c r="H20" s="383">
        <v>0</v>
      </c>
      <c r="I20" s="340"/>
      <c r="J20" s="383">
        <f t="shared" si="0"/>
        <v>0</v>
      </c>
      <c r="K20" s="383">
        <f t="shared" si="1"/>
        <v>0</v>
      </c>
    </row>
    <row r="21" spans="1:14" s="28" customFormat="1" ht="15.75">
      <c r="D21" s="3" t="s">
        <v>408</v>
      </c>
      <c r="E21" s="298">
        <f>SUM(E11:E20)</f>
        <v>130914</v>
      </c>
      <c r="F21" s="298">
        <f>SUM(F11:F20)</f>
        <v>123296</v>
      </c>
      <c r="G21" s="298">
        <f>SUM(G11:G20)</f>
        <v>117300</v>
      </c>
      <c r="H21" s="298">
        <f>SUM(H11:H20)</f>
        <v>116900</v>
      </c>
      <c r="I21" s="342"/>
      <c r="J21" s="298">
        <f>SUM(J11:J20)</f>
        <v>0</v>
      </c>
      <c r="K21" s="298">
        <f>SUM(K11:K20)</f>
        <v>0</v>
      </c>
      <c r="L21" s="19"/>
      <c r="M21" s="19"/>
      <c r="N21" s="19"/>
    </row>
    <row r="22" spans="1:14" s="28" customFormat="1" ht="15">
      <c r="D22" s="1"/>
      <c r="E22" s="331"/>
      <c r="F22" s="331"/>
      <c r="G22" s="331"/>
      <c r="H22" s="331"/>
      <c r="I22" s="355"/>
      <c r="J22" s="331"/>
      <c r="K22" s="331"/>
    </row>
    <row r="23" spans="1:14" s="28" customFormat="1" ht="15">
      <c r="D23" s="1"/>
      <c r="E23" s="331"/>
      <c r="F23" s="331"/>
      <c r="G23" s="331"/>
      <c r="H23" s="331"/>
      <c r="I23" s="355"/>
      <c r="J23" s="331"/>
      <c r="K23" s="331"/>
      <c r="L23" s="19"/>
      <c r="M23" s="19"/>
      <c r="N23" s="19"/>
    </row>
    <row r="24" spans="1:14" s="28" customFormat="1" ht="15.75" hidden="1">
      <c r="D24" s="3" t="s">
        <v>69</v>
      </c>
      <c r="E24" s="331"/>
      <c r="F24" s="331"/>
      <c r="G24" s="331"/>
      <c r="H24" s="331"/>
      <c r="I24" s="355"/>
      <c r="J24" s="331"/>
      <c r="K24" s="331"/>
      <c r="L24" s="19"/>
      <c r="M24" s="19"/>
      <c r="N24" s="19"/>
    </row>
    <row r="25" spans="1:14" s="28" customFormat="1" ht="15" hidden="1">
      <c r="D25" s="1" t="s">
        <v>183</v>
      </c>
      <c r="E25" s="331">
        <v>0</v>
      </c>
      <c r="F25" s="331">
        <v>0</v>
      </c>
      <c r="G25" s="331">
        <v>0</v>
      </c>
      <c r="H25" s="331">
        <v>0</v>
      </c>
      <c r="I25" s="328">
        <v>0</v>
      </c>
      <c r="J25" s="331">
        <f t="shared" ref="J25:J29" si="4">IF($M$2="Yes",H25,0)</f>
        <v>0</v>
      </c>
      <c r="K25" s="331">
        <f t="shared" ref="K25:K29" si="5">IF($N$2="Yes",J25,0)</f>
        <v>0</v>
      </c>
      <c r="L25" s="19"/>
      <c r="M25" s="19"/>
      <c r="N25" s="19"/>
    </row>
    <row r="26" spans="1:14" s="28" customFormat="1" ht="15" hidden="1">
      <c r="D26" s="1" t="s">
        <v>83</v>
      </c>
      <c r="E26" s="331">
        <v>0</v>
      </c>
      <c r="F26" s="331">
        <v>0</v>
      </c>
      <c r="G26" s="331">
        <v>0</v>
      </c>
      <c r="H26" s="331">
        <v>0</v>
      </c>
      <c r="I26" s="328">
        <v>0</v>
      </c>
      <c r="J26" s="331">
        <f t="shared" si="4"/>
        <v>0</v>
      </c>
      <c r="K26" s="331">
        <f t="shared" si="5"/>
        <v>0</v>
      </c>
      <c r="L26" s="19"/>
      <c r="M26" s="19"/>
      <c r="N26" s="19"/>
    </row>
    <row r="27" spans="1:14" s="28" customFormat="1" ht="15" hidden="1">
      <c r="D27" s="1" t="s">
        <v>84</v>
      </c>
      <c r="E27" s="331">
        <v>0</v>
      </c>
      <c r="F27" s="331">
        <v>0</v>
      </c>
      <c r="G27" s="331">
        <v>0</v>
      </c>
      <c r="H27" s="331">
        <v>0</v>
      </c>
      <c r="I27" s="328">
        <v>0</v>
      </c>
      <c r="J27" s="331">
        <f t="shared" si="4"/>
        <v>0</v>
      </c>
      <c r="K27" s="331">
        <f t="shared" si="5"/>
        <v>0</v>
      </c>
      <c r="L27" s="19"/>
      <c r="M27" s="19"/>
      <c r="N27" s="19"/>
    </row>
    <row r="28" spans="1:14" s="28" customFormat="1" ht="15" hidden="1">
      <c r="D28" s="1" t="s">
        <v>85</v>
      </c>
      <c r="E28" s="330">
        <v>0</v>
      </c>
      <c r="F28" s="330">
        <v>0</v>
      </c>
      <c r="G28" s="330">
        <v>0</v>
      </c>
      <c r="H28" s="330">
        <v>0</v>
      </c>
      <c r="I28" s="325">
        <v>0</v>
      </c>
      <c r="J28" s="330">
        <f t="shared" si="4"/>
        <v>0</v>
      </c>
      <c r="K28" s="330">
        <f t="shared" si="5"/>
        <v>0</v>
      </c>
      <c r="L28" s="19"/>
      <c r="M28" s="19"/>
      <c r="N28" s="19"/>
    </row>
    <row r="29" spans="1:14" s="28" customFormat="1" ht="15" hidden="1">
      <c r="D29" s="1" t="s">
        <v>77</v>
      </c>
      <c r="E29" s="639">
        <v>0</v>
      </c>
      <c r="F29" s="639">
        <v>0</v>
      </c>
      <c r="G29" s="639">
        <v>0</v>
      </c>
      <c r="H29" s="639">
        <v>0</v>
      </c>
      <c r="I29" s="375">
        <v>0</v>
      </c>
      <c r="J29" s="639">
        <f t="shared" si="4"/>
        <v>0</v>
      </c>
      <c r="K29" s="639">
        <f t="shared" si="5"/>
        <v>0</v>
      </c>
      <c r="L29" s="19"/>
      <c r="M29" s="19"/>
      <c r="N29" s="19"/>
    </row>
    <row r="30" spans="1:14" s="28" customFormat="1" ht="15.75" hidden="1">
      <c r="D30" s="3" t="s">
        <v>244</v>
      </c>
      <c r="E30" s="342">
        <f>SUM(E25:E29)</f>
        <v>0</v>
      </c>
      <c r="F30" s="342">
        <f t="shared" ref="F30:H30" si="6">SUM(F25:F29)</f>
        <v>0</v>
      </c>
      <c r="G30" s="342">
        <f t="shared" si="6"/>
        <v>0</v>
      </c>
      <c r="H30" s="342">
        <f t="shared" si="6"/>
        <v>0</v>
      </c>
      <c r="I30" s="342">
        <v>0</v>
      </c>
      <c r="J30" s="342">
        <f t="shared" ref="J30:K30" si="7">SUM(J25:J29)</f>
        <v>0</v>
      </c>
      <c r="K30" s="342">
        <f t="shared" si="7"/>
        <v>0</v>
      </c>
      <c r="L30" s="19"/>
      <c r="M30" s="19"/>
      <c r="N30" s="19"/>
    </row>
    <row r="31" spans="1:14" s="28" customFormat="1" ht="18.75" hidden="1">
      <c r="D31" s="3"/>
      <c r="E31" s="342"/>
      <c r="F31" s="342"/>
      <c r="G31" s="342"/>
      <c r="H31" s="342"/>
      <c r="I31" s="352"/>
      <c r="J31" s="342"/>
      <c r="K31" s="342"/>
      <c r="L31" s="19"/>
      <c r="M31" s="19"/>
      <c r="N31" s="19"/>
    </row>
    <row r="32" spans="1:14" s="28" customFormat="1" ht="18.75">
      <c r="D32" s="3" t="s">
        <v>247</v>
      </c>
      <c r="E32" s="342"/>
      <c r="F32" s="342"/>
      <c r="G32" s="342"/>
      <c r="H32" s="342"/>
      <c r="I32" s="352"/>
      <c r="J32" s="342"/>
      <c r="K32" s="342"/>
      <c r="L32" s="19"/>
      <c r="M32" s="19"/>
      <c r="N32" s="19"/>
    </row>
    <row r="33" spans="1:14" s="39" customFormat="1" ht="15">
      <c r="A33" s="28">
        <v>600</v>
      </c>
      <c r="B33" s="28">
        <v>900</v>
      </c>
      <c r="C33" s="28">
        <v>55100</v>
      </c>
      <c r="D33" s="1" t="s">
        <v>249</v>
      </c>
      <c r="E33" s="332">
        <v>0</v>
      </c>
      <c r="F33" s="332">
        <v>14996</v>
      </c>
      <c r="G33" s="332">
        <v>10000</v>
      </c>
      <c r="H33" s="332">
        <v>10000</v>
      </c>
      <c r="I33" s="340"/>
      <c r="J33" s="332">
        <f t="shared" ref="J33:J35" si="8">IF($M$2="Yes",H33,0)</f>
        <v>0</v>
      </c>
      <c r="K33" s="332">
        <f t="shared" ref="K33:K35" si="9">IF($N$2="Yes",J33,0)</f>
        <v>0</v>
      </c>
      <c r="L33" s="37"/>
      <c r="M33" s="37"/>
      <c r="N33" s="37"/>
    </row>
    <row r="34" spans="1:14" s="39" customFormat="1" ht="15.75">
      <c r="A34" s="28">
        <v>600</v>
      </c>
      <c r="B34" s="28">
        <v>900</v>
      </c>
      <c r="C34" s="28">
        <v>55510</v>
      </c>
      <c r="D34" s="1" t="s">
        <v>288</v>
      </c>
      <c r="E34" s="332">
        <v>8209</v>
      </c>
      <c r="F34" s="332">
        <v>0</v>
      </c>
      <c r="G34" s="332">
        <v>0</v>
      </c>
      <c r="H34" s="332">
        <v>0</v>
      </c>
      <c r="I34" s="339"/>
      <c r="J34" s="342">
        <f t="shared" si="8"/>
        <v>0</v>
      </c>
      <c r="K34" s="342">
        <f t="shared" si="9"/>
        <v>0</v>
      </c>
      <c r="L34" s="37"/>
      <c r="M34" s="37"/>
      <c r="N34" s="37"/>
    </row>
    <row r="35" spans="1:14" s="39" customFormat="1" ht="15.75">
      <c r="A35" s="28">
        <v>600</v>
      </c>
      <c r="B35" s="28">
        <v>900</v>
      </c>
      <c r="C35" s="28">
        <v>55500</v>
      </c>
      <c r="D35" s="1" t="s">
        <v>289</v>
      </c>
      <c r="E35" s="383">
        <v>8209</v>
      </c>
      <c r="F35" s="383">
        <v>0</v>
      </c>
      <c r="G35" s="383">
        <v>0</v>
      </c>
      <c r="H35" s="383">
        <v>0</v>
      </c>
      <c r="I35" s="376"/>
      <c r="J35" s="597">
        <f t="shared" si="8"/>
        <v>0</v>
      </c>
      <c r="K35" s="597">
        <f t="shared" si="9"/>
        <v>0</v>
      </c>
      <c r="L35" s="37"/>
      <c r="M35" s="37"/>
      <c r="N35" s="37"/>
    </row>
    <row r="36" spans="1:14" s="28" customFormat="1" ht="15.75">
      <c r="D36" s="3" t="s">
        <v>248</v>
      </c>
      <c r="E36" s="342">
        <f t="shared" ref="E36:K36" si="10">SUM(E33:E35)</f>
        <v>16418</v>
      </c>
      <c r="F36" s="342">
        <f t="shared" si="10"/>
        <v>14996</v>
      </c>
      <c r="G36" s="342">
        <f t="shared" si="10"/>
        <v>10000</v>
      </c>
      <c r="H36" s="342">
        <f t="shared" si="10"/>
        <v>10000</v>
      </c>
      <c r="I36" s="342"/>
      <c r="J36" s="342">
        <f t="shared" si="10"/>
        <v>0</v>
      </c>
      <c r="K36" s="342">
        <f t="shared" si="10"/>
        <v>0</v>
      </c>
      <c r="L36" s="19"/>
      <c r="M36" s="19"/>
      <c r="N36" s="19"/>
    </row>
    <row r="37" spans="1:14" s="28" customFormat="1" ht="15.75" thickBot="1">
      <c r="A37" s="28">
        <v>600</v>
      </c>
      <c r="B37" s="28">
        <v>900</v>
      </c>
      <c r="C37" s="28">
        <v>55520</v>
      </c>
      <c r="D37" s="1"/>
      <c r="E37" s="330"/>
      <c r="F37" s="330"/>
      <c r="G37" s="330"/>
      <c r="H37" s="330"/>
      <c r="I37" s="637"/>
      <c r="J37" s="330"/>
      <c r="K37" s="330"/>
    </row>
    <row r="38" spans="1:14" s="39" customFormat="1" ht="16.5" thickTop="1">
      <c r="A38" s="28"/>
      <c r="B38" s="28"/>
      <c r="C38" s="28"/>
      <c r="D38" s="3" t="s">
        <v>500</v>
      </c>
      <c r="E38" s="370">
        <f>E30+E36</f>
        <v>16418</v>
      </c>
      <c r="F38" s="370">
        <f t="shared" ref="F38:H38" si="11">F30+F36</f>
        <v>14996</v>
      </c>
      <c r="G38" s="370">
        <f t="shared" si="11"/>
        <v>10000</v>
      </c>
      <c r="H38" s="370">
        <f t="shared" si="11"/>
        <v>10000</v>
      </c>
      <c r="I38" s="370"/>
      <c r="J38" s="370">
        <f t="shared" ref="J38:K38" si="12">J30+J36</f>
        <v>0</v>
      </c>
      <c r="K38" s="370">
        <f t="shared" si="12"/>
        <v>0</v>
      </c>
      <c r="L38" s="37"/>
      <c r="M38" s="37"/>
      <c r="N38" s="37"/>
    </row>
    <row r="39" spans="1:14" s="28" customFormat="1" ht="18.75">
      <c r="D39" s="3"/>
      <c r="E39" s="342"/>
      <c r="F39" s="342"/>
      <c r="G39" s="342"/>
      <c r="H39" s="342"/>
      <c r="I39" s="352"/>
      <c r="J39" s="342"/>
      <c r="K39" s="342"/>
      <c r="L39" s="19"/>
      <c r="M39" s="19"/>
      <c r="N39" s="19"/>
    </row>
    <row r="40" spans="1:14" s="28" customFormat="1" ht="18.75">
      <c r="D40" s="3" t="s">
        <v>401</v>
      </c>
      <c r="E40" s="342"/>
      <c r="F40" s="342"/>
      <c r="G40" s="342"/>
      <c r="H40" s="342"/>
      <c r="I40" s="352"/>
      <c r="J40" s="342"/>
      <c r="K40" s="342"/>
      <c r="L40" s="19"/>
      <c r="M40" s="19"/>
      <c r="N40" s="19"/>
    </row>
    <row r="41" spans="1:14" s="215" customFormat="1" hidden="1">
      <c r="A41" s="28">
        <v>600</v>
      </c>
      <c r="B41" s="28">
        <v>999</v>
      </c>
      <c r="C41" s="28">
        <v>59000</v>
      </c>
      <c r="D41" s="1" t="s">
        <v>371</v>
      </c>
      <c r="E41" s="332">
        <v>14996</v>
      </c>
      <c r="F41" s="332">
        <f>29997-15000-1</f>
        <v>14996</v>
      </c>
      <c r="G41" s="332">
        <v>0</v>
      </c>
      <c r="H41" s="332">
        <v>0</v>
      </c>
      <c r="I41" s="348"/>
      <c r="J41" s="331">
        <f t="shared" ref="J41:J45" si="13">IF($M$2="Yes",H41,0)</f>
        <v>0</v>
      </c>
      <c r="K41" s="331">
        <f t="shared" ref="K41:K45" si="14">IF($N$2="Yes",J41,0)</f>
        <v>0</v>
      </c>
      <c r="L41" s="17"/>
      <c r="M41" s="638"/>
      <c r="N41" s="638"/>
    </row>
    <row r="42" spans="1:14" s="215" customFormat="1">
      <c r="A42" s="28">
        <v>600</v>
      </c>
      <c r="B42" s="28">
        <v>999</v>
      </c>
      <c r="C42" s="28">
        <v>59000</v>
      </c>
      <c r="D42" s="1" t="s">
        <v>156</v>
      </c>
      <c r="E42" s="332">
        <v>34000</v>
      </c>
      <c r="F42" s="332">
        <v>22804</v>
      </c>
      <c r="G42" s="332">
        <v>31800</v>
      </c>
      <c r="H42" s="332">
        <v>25800</v>
      </c>
      <c r="I42" s="348"/>
      <c r="J42" s="331">
        <f t="shared" si="13"/>
        <v>0</v>
      </c>
      <c r="K42" s="331">
        <f t="shared" si="14"/>
        <v>0</v>
      </c>
      <c r="L42" s="849"/>
      <c r="M42" s="638"/>
      <c r="N42" s="638"/>
    </row>
    <row r="43" spans="1:14" s="215" customFormat="1">
      <c r="A43" s="28">
        <v>600</v>
      </c>
      <c r="B43" s="28">
        <v>999</v>
      </c>
      <c r="C43" s="28">
        <v>59000</v>
      </c>
      <c r="D43" s="1" t="s">
        <v>431</v>
      </c>
      <c r="E43" s="332">
        <v>32500</v>
      </c>
      <c r="F43" s="332">
        <v>37500</v>
      </c>
      <c r="G43" s="332">
        <v>42500</v>
      </c>
      <c r="H43" s="332">
        <v>47500</v>
      </c>
      <c r="I43" s="348"/>
      <c r="J43" s="331">
        <f t="shared" si="13"/>
        <v>0</v>
      </c>
      <c r="K43" s="331">
        <f t="shared" si="14"/>
        <v>0</v>
      </c>
      <c r="L43" s="849" t="s">
        <v>482</v>
      </c>
      <c r="M43" s="638"/>
      <c r="N43" s="638"/>
    </row>
    <row r="44" spans="1:14" s="215" customFormat="1">
      <c r="A44" s="28">
        <v>600</v>
      </c>
      <c r="B44" s="28">
        <v>999</v>
      </c>
      <c r="C44" s="28">
        <v>59000</v>
      </c>
      <c r="D44" s="1" t="s">
        <v>432</v>
      </c>
      <c r="E44" s="332">
        <v>33000</v>
      </c>
      <c r="F44" s="332">
        <v>33000</v>
      </c>
      <c r="G44" s="332">
        <v>33000</v>
      </c>
      <c r="H44" s="332">
        <v>33000</v>
      </c>
      <c r="I44" s="348"/>
      <c r="J44" s="331">
        <f t="shared" si="13"/>
        <v>0</v>
      </c>
      <c r="K44" s="331">
        <f t="shared" si="14"/>
        <v>0</v>
      </c>
      <c r="L44" s="849" t="s">
        <v>483</v>
      </c>
      <c r="M44" s="638"/>
      <c r="N44" s="638"/>
    </row>
    <row r="45" spans="1:14" s="215" customFormat="1" ht="15">
      <c r="A45" s="28">
        <v>600</v>
      </c>
      <c r="B45" s="28">
        <v>999</v>
      </c>
      <c r="C45" s="28">
        <v>59000</v>
      </c>
      <c r="D45" s="1" t="s">
        <v>430</v>
      </c>
      <c r="E45" s="383">
        <v>0</v>
      </c>
      <c r="F45" s="383">
        <v>0</v>
      </c>
      <c r="G45" s="383">
        <v>0</v>
      </c>
      <c r="H45" s="383">
        <v>0</v>
      </c>
      <c r="I45" s="355"/>
      <c r="J45" s="383">
        <f t="shared" si="13"/>
        <v>0</v>
      </c>
      <c r="K45" s="383">
        <f t="shared" si="14"/>
        <v>0</v>
      </c>
      <c r="L45" s="849"/>
      <c r="M45" s="638"/>
      <c r="N45" s="638"/>
    </row>
    <row r="46" spans="1:14" s="42" customFormat="1" ht="17.25">
      <c r="A46" s="28"/>
      <c r="B46" s="28"/>
      <c r="C46" s="28"/>
      <c r="D46" s="3" t="s">
        <v>401</v>
      </c>
      <c r="E46" s="298">
        <f>SUM(E41:E45)</f>
        <v>114496</v>
      </c>
      <c r="F46" s="298">
        <f t="shared" ref="F46:H46" si="15">SUM(F41:F45)</f>
        <v>108300</v>
      </c>
      <c r="G46" s="298">
        <f t="shared" si="15"/>
        <v>107300</v>
      </c>
      <c r="H46" s="298">
        <f t="shared" si="15"/>
        <v>106300</v>
      </c>
      <c r="I46" s="534"/>
      <c r="J46" s="298">
        <f t="shared" ref="J46:K46" si="16">SUM(J41:J45)</f>
        <v>0</v>
      </c>
      <c r="K46" s="298">
        <f t="shared" si="16"/>
        <v>0</v>
      </c>
      <c r="L46" s="163"/>
      <c r="M46" s="163"/>
      <c r="N46" s="163"/>
    </row>
    <row r="47" spans="1:14" ht="18.75" thickBot="1">
      <c r="E47" s="330"/>
      <c r="F47" s="330"/>
      <c r="G47" s="330"/>
      <c r="H47" s="330"/>
      <c r="I47" s="348"/>
      <c r="J47" s="330"/>
      <c r="K47" s="330"/>
    </row>
    <row r="48" spans="1:14" ht="19.5" thickTop="1">
      <c r="E48" s="377">
        <f>E21-E38-E46</f>
        <v>0</v>
      </c>
      <c r="F48" s="377">
        <f t="shared" ref="F48:G48" si="17">F21-F38-F46</f>
        <v>0</v>
      </c>
      <c r="G48" s="377">
        <f t="shared" si="17"/>
        <v>0</v>
      </c>
      <c r="H48" s="377">
        <f>H21-H38-H46</f>
        <v>600</v>
      </c>
      <c r="I48" s="348"/>
      <c r="J48" s="377">
        <f t="shared" ref="J48:K48" si="18">J21-J38-J46</f>
        <v>0</v>
      </c>
      <c r="K48" s="377">
        <f t="shared" si="18"/>
        <v>0</v>
      </c>
    </row>
    <row r="49" spans="5:11">
      <c r="E49" s="640"/>
      <c r="F49" s="640"/>
      <c r="G49" s="542"/>
      <c r="K49" s="642"/>
    </row>
    <row r="50" spans="5:11">
      <c r="E50" s="641"/>
      <c r="F50" s="641"/>
      <c r="G50" s="542"/>
      <c r="K50" s="642"/>
    </row>
    <row r="51" spans="5:11">
      <c r="E51" s="641"/>
      <c r="F51" s="641"/>
      <c r="G51" s="542"/>
      <c r="K51" s="642"/>
    </row>
    <row r="52" spans="5:11">
      <c r="E52" s="641"/>
      <c r="F52" s="641"/>
      <c r="G52" s="542"/>
      <c r="K52" s="642"/>
    </row>
    <row r="53" spans="5:11">
      <c r="E53" s="641"/>
      <c r="F53" s="641"/>
      <c r="G53" s="542"/>
      <c r="K53" s="561"/>
    </row>
    <row r="54" spans="5:11">
      <c r="E54" s="641"/>
      <c r="F54" s="641"/>
      <c r="G54" s="542"/>
      <c r="K54" s="642"/>
    </row>
    <row r="55" spans="5:11">
      <c r="E55" s="558"/>
      <c r="F55" s="558"/>
      <c r="G55" s="542"/>
      <c r="K55" s="207"/>
    </row>
    <row r="56" spans="5:11" ht="18.75">
      <c r="E56" s="558"/>
      <c r="F56" s="558"/>
      <c r="K56" s="18"/>
    </row>
    <row r="57" spans="5:11">
      <c r="E57" s="558"/>
      <c r="F57" s="558"/>
      <c r="G57" s="542"/>
    </row>
    <row r="58" spans="5:11">
      <c r="E58" s="558"/>
      <c r="F58" s="558"/>
      <c r="G58" s="542"/>
    </row>
    <row r="59" spans="5:11">
      <c r="E59" s="558"/>
      <c r="F59" s="558"/>
      <c r="G59" s="542"/>
    </row>
    <row r="60" spans="5:11">
      <c r="E60" s="558"/>
      <c r="F60" s="558"/>
      <c r="G60" s="542"/>
    </row>
    <row r="61" spans="5:11">
      <c r="E61" s="558"/>
      <c r="F61" s="558"/>
      <c r="G61" s="542"/>
    </row>
    <row r="62" spans="5:11">
      <c r="E62" s="558"/>
      <c r="F62" s="558"/>
      <c r="G62" s="542"/>
    </row>
    <row r="63" spans="5:11">
      <c r="E63" s="558"/>
      <c r="F63" s="558"/>
      <c r="G63" s="542"/>
    </row>
    <row r="64" spans="5:11">
      <c r="E64" s="558"/>
      <c r="F64" s="558"/>
      <c r="G64" s="542"/>
    </row>
    <row r="65" spans="5:7">
      <c r="E65" s="558"/>
      <c r="F65" s="558"/>
      <c r="G65" s="542"/>
    </row>
    <row r="66" spans="5:7">
      <c r="E66" s="558"/>
      <c r="F66" s="558"/>
      <c r="G66" s="542"/>
    </row>
    <row r="67" spans="5:7">
      <c r="E67" s="558"/>
      <c r="F67" s="558"/>
      <c r="G67" s="542"/>
    </row>
    <row r="68" spans="5:7">
      <c r="E68" s="558"/>
      <c r="F68" s="558"/>
      <c r="G68" s="542"/>
    </row>
    <row r="69" spans="5:7">
      <c r="E69" s="558"/>
      <c r="F69" s="558"/>
      <c r="G69" s="542"/>
    </row>
    <row r="70" spans="5:7">
      <c r="E70" s="558"/>
      <c r="F70" s="558"/>
      <c r="G70" s="542"/>
    </row>
    <row r="71" spans="5:7">
      <c r="E71" s="558"/>
      <c r="F71" s="558"/>
    </row>
    <row r="72" spans="5:7">
      <c r="E72" s="558"/>
      <c r="F72" s="558"/>
    </row>
    <row r="73" spans="5:7">
      <c r="E73" s="558"/>
      <c r="F73" s="558"/>
    </row>
    <row r="74" spans="5:7">
      <c r="E74" s="558"/>
      <c r="F74" s="558"/>
    </row>
    <row r="75" spans="5:7">
      <c r="E75" s="558"/>
      <c r="F75" s="558"/>
    </row>
    <row r="76" spans="5:7">
      <c r="E76" s="558"/>
      <c r="F76" s="558"/>
    </row>
    <row r="77" spans="5:7">
      <c r="E77" s="558"/>
      <c r="F77" s="558"/>
    </row>
    <row r="78" spans="5:7">
      <c r="E78" s="558"/>
      <c r="F78" s="558"/>
    </row>
    <row r="79" spans="5:7">
      <c r="E79" s="558"/>
      <c r="F79" s="558"/>
    </row>
    <row r="80" spans="5:7">
      <c r="E80" s="558"/>
      <c r="F80" s="558"/>
    </row>
    <row r="81" spans="5:6">
      <c r="E81" s="558"/>
      <c r="F81" s="558"/>
    </row>
    <row r="82" spans="5:6">
      <c r="E82" s="558"/>
      <c r="F82" s="558"/>
    </row>
    <row r="83" spans="5:6">
      <c r="E83" s="558"/>
      <c r="F83" s="558"/>
    </row>
    <row r="84" spans="5:6">
      <c r="E84" s="558"/>
      <c r="F84" s="558"/>
    </row>
    <row r="85" spans="5:6">
      <c r="E85" s="558"/>
      <c r="F85" s="558"/>
    </row>
    <row r="86" spans="5:6">
      <c r="E86" s="558"/>
      <c r="F86" s="558"/>
    </row>
    <row r="87" spans="5:6">
      <c r="E87" s="558"/>
      <c r="F87" s="558"/>
    </row>
    <row r="88" spans="5:6">
      <c r="E88" s="558"/>
      <c r="F88" s="558"/>
    </row>
    <row r="89" spans="5:6">
      <c r="E89" s="558"/>
      <c r="F89" s="558"/>
    </row>
    <row r="90" spans="5:6">
      <c r="E90" s="558"/>
      <c r="F90" s="558"/>
    </row>
    <row r="91" spans="5:6">
      <c r="E91" s="558"/>
      <c r="F91" s="558"/>
    </row>
    <row r="92" spans="5:6">
      <c r="E92" s="558"/>
      <c r="F92" s="558"/>
    </row>
    <row r="93" spans="5:6">
      <c r="E93" s="558"/>
      <c r="F93" s="558"/>
    </row>
    <row r="94" spans="5:6">
      <c r="E94" s="558"/>
      <c r="F94" s="558"/>
    </row>
    <row r="95" spans="5:6">
      <c r="E95" s="558"/>
      <c r="F95" s="558"/>
    </row>
    <row r="96" spans="5:6">
      <c r="E96" s="558"/>
      <c r="F96" s="558"/>
    </row>
    <row r="97" spans="5:6">
      <c r="E97" s="558"/>
      <c r="F97" s="558"/>
    </row>
    <row r="98" spans="5:6">
      <c r="E98" s="558"/>
      <c r="F98" s="558"/>
    </row>
    <row r="99" spans="5:6">
      <c r="E99" s="558"/>
      <c r="F99" s="558"/>
    </row>
    <row r="100" spans="5:6">
      <c r="E100" s="558"/>
      <c r="F100" s="558"/>
    </row>
    <row r="101" spans="5:6">
      <c r="E101" s="558"/>
      <c r="F101" s="558"/>
    </row>
    <row r="102" spans="5:6">
      <c r="E102" s="558"/>
      <c r="F102" s="558"/>
    </row>
    <row r="103" spans="5:6">
      <c r="E103" s="558"/>
      <c r="F103" s="558"/>
    </row>
    <row r="104" spans="5:6">
      <c r="E104" s="558"/>
      <c r="F104" s="558"/>
    </row>
    <row r="105" spans="5:6">
      <c r="E105" s="558"/>
      <c r="F105" s="558"/>
    </row>
    <row r="106" spans="5:6">
      <c r="E106" s="558"/>
      <c r="F106" s="558"/>
    </row>
    <row r="107" spans="5:6">
      <c r="E107" s="558"/>
      <c r="F107" s="558"/>
    </row>
    <row r="108" spans="5:6">
      <c r="E108" s="558"/>
      <c r="F108" s="558"/>
    </row>
    <row r="109" spans="5:6">
      <c r="E109" s="558"/>
      <c r="F109" s="558"/>
    </row>
    <row r="110" spans="5:6">
      <c r="E110" s="558"/>
      <c r="F110" s="558"/>
    </row>
    <row r="111" spans="5:6">
      <c r="E111" s="558"/>
      <c r="F111" s="558"/>
    </row>
    <row r="112" spans="5:6">
      <c r="E112" s="558"/>
      <c r="F112" s="558"/>
    </row>
    <row r="113" spans="5:6">
      <c r="E113" s="558"/>
      <c r="F113" s="558"/>
    </row>
    <row r="114" spans="5:6">
      <c r="E114" s="558"/>
      <c r="F114" s="558"/>
    </row>
    <row r="115" spans="5:6">
      <c r="E115" s="558"/>
      <c r="F115" s="558"/>
    </row>
    <row r="116" spans="5:6">
      <c r="E116" s="558"/>
      <c r="F116" s="558"/>
    </row>
    <row r="117" spans="5:6">
      <c r="E117" s="558"/>
      <c r="F117" s="558"/>
    </row>
    <row r="118" spans="5:6">
      <c r="E118" s="558"/>
      <c r="F118" s="558"/>
    </row>
    <row r="119" spans="5:6">
      <c r="E119" s="558"/>
      <c r="F119" s="558"/>
    </row>
    <row r="120" spans="5:6">
      <c r="E120" s="558"/>
      <c r="F120" s="558"/>
    </row>
    <row r="121" spans="5:6">
      <c r="E121" s="558"/>
      <c r="F121" s="558"/>
    </row>
    <row r="122" spans="5:6">
      <c r="E122" s="558"/>
      <c r="F122" s="558"/>
    </row>
    <row r="123" spans="5:6">
      <c r="E123" s="558"/>
      <c r="F123" s="558"/>
    </row>
    <row r="124" spans="5:6">
      <c r="E124" s="558"/>
      <c r="F124" s="558"/>
    </row>
    <row r="125" spans="5:6">
      <c r="E125" s="558"/>
      <c r="F125" s="558"/>
    </row>
    <row r="126" spans="5:6">
      <c r="E126" s="558"/>
      <c r="F126" s="558"/>
    </row>
    <row r="127" spans="5:6">
      <c r="E127" s="558"/>
      <c r="F127" s="558"/>
    </row>
    <row r="128" spans="5:6">
      <c r="E128" s="558"/>
      <c r="F128" s="558"/>
    </row>
    <row r="129" spans="5:6">
      <c r="E129" s="558"/>
      <c r="F129" s="558"/>
    </row>
    <row r="130" spans="5:6">
      <c r="E130" s="558"/>
      <c r="F130" s="558"/>
    </row>
    <row r="131" spans="5:6">
      <c r="E131" s="558"/>
      <c r="F131" s="558"/>
    </row>
    <row r="132" spans="5:6">
      <c r="E132" s="558"/>
      <c r="F132" s="558"/>
    </row>
    <row r="133" spans="5:6">
      <c r="E133" s="558"/>
      <c r="F133" s="558"/>
    </row>
    <row r="134" spans="5:6">
      <c r="E134" s="558"/>
      <c r="F134" s="558"/>
    </row>
    <row r="135" spans="5:6">
      <c r="E135" s="558"/>
      <c r="F135" s="558"/>
    </row>
    <row r="136" spans="5:6">
      <c r="E136" s="558"/>
      <c r="F136" s="558"/>
    </row>
    <row r="137" spans="5:6">
      <c r="E137" s="558"/>
      <c r="F137" s="558"/>
    </row>
    <row r="138" spans="5:6">
      <c r="E138" s="558"/>
      <c r="F138" s="558"/>
    </row>
    <row r="139" spans="5:6">
      <c r="E139" s="558"/>
      <c r="F139" s="558"/>
    </row>
    <row r="140" spans="5:6">
      <c r="E140" s="558"/>
      <c r="F140" s="558"/>
    </row>
    <row r="141" spans="5:6">
      <c r="E141" s="558"/>
      <c r="F141" s="558"/>
    </row>
    <row r="142" spans="5:6">
      <c r="E142" s="558"/>
      <c r="F142" s="558"/>
    </row>
    <row r="143" spans="5:6">
      <c r="E143" s="558"/>
      <c r="F143" s="558"/>
    </row>
    <row r="144" spans="5:6">
      <c r="E144" s="558"/>
      <c r="F144" s="558"/>
    </row>
    <row r="145" spans="5:6">
      <c r="E145" s="558"/>
      <c r="F145" s="558"/>
    </row>
    <row r="146" spans="5:6">
      <c r="E146" s="558"/>
      <c r="F146" s="558"/>
    </row>
    <row r="147" spans="5:6">
      <c r="E147" s="558"/>
      <c r="F147" s="558"/>
    </row>
    <row r="148" spans="5:6">
      <c r="E148" s="558"/>
      <c r="F148" s="558"/>
    </row>
    <row r="149" spans="5:6">
      <c r="E149" s="558"/>
      <c r="F149" s="558"/>
    </row>
    <row r="150" spans="5:6">
      <c r="E150" s="558"/>
      <c r="F150" s="558"/>
    </row>
    <row r="151" spans="5:6">
      <c r="E151" s="558"/>
      <c r="F151" s="558"/>
    </row>
    <row r="152" spans="5:6">
      <c r="E152" s="558"/>
      <c r="F152" s="558"/>
    </row>
    <row r="153" spans="5:6">
      <c r="E153" s="558"/>
      <c r="F153" s="558"/>
    </row>
    <row r="154" spans="5:6">
      <c r="E154" s="558"/>
      <c r="F154" s="558"/>
    </row>
    <row r="155" spans="5:6">
      <c r="E155" s="558"/>
      <c r="F155" s="558"/>
    </row>
    <row r="156" spans="5:6">
      <c r="E156" s="558"/>
      <c r="F156" s="558"/>
    </row>
    <row r="157" spans="5:6">
      <c r="E157" s="558"/>
      <c r="F157" s="558"/>
    </row>
    <row r="158" spans="5:6">
      <c r="E158" s="558"/>
      <c r="F158" s="558"/>
    </row>
    <row r="159" spans="5:6">
      <c r="E159" s="558"/>
      <c r="F159" s="558"/>
    </row>
    <row r="160" spans="5:6">
      <c r="E160" s="558"/>
      <c r="F160" s="558"/>
    </row>
    <row r="161" spans="5:6">
      <c r="E161" s="558"/>
      <c r="F161" s="558"/>
    </row>
  </sheetData>
  <mergeCells count="3">
    <mergeCell ref="D4:K4"/>
    <mergeCell ref="D1:K1"/>
    <mergeCell ref="D2:K2"/>
  </mergeCells>
  <phoneticPr fontId="0" type="noConversion"/>
  <printOptions horizontalCentered="1"/>
  <pageMargins left="0.7" right="0.7" top="0.75" bottom="0.75" header="0.3" footer="0.3"/>
  <pageSetup scale="72" orientation="portrait" r:id="rId1"/>
  <headerFooter>
    <oddHeader>&amp;C&amp;A</oddHeader>
    <oddFooter>&amp;C&amp;F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Q111"/>
  <sheetViews>
    <sheetView view="pageBreakPreview" zoomScale="70" zoomScaleNormal="70" zoomScaleSheetLayoutView="70" zoomScalePage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defaultColWidth="8.7109375" defaultRowHeight="15"/>
  <cols>
    <col min="1" max="1" width="17.7109375" style="223" customWidth="1"/>
    <col min="2" max="2" width="45" style="39" customWidth="1"/>
    <col min="3" max="3" width="17.42578125" style="39" customWidth="1"/>
    <col min="4" max="5" width="17.7109375" style="39" bestFit="1" customWidth="1"/>
    <col min="6" max="6" width="17.28515625" style="39" customWidth="1"/>
    <col min="7" max="7" width="17.7109375" style="39" customWidth="1"/>
    <col min="8" max="8" width="14.7109375" style="39" customWidth="1"/>
    <col min="9" max="10" width="17.42578125" style="47" customWidth="1"/>
    <col min="11" max="11" width="14.42578125" style="39" customWidth="1"/>
    <col min="12" max="12" width="16.7109375" style="39" bestFit="1" customWidth="1"/>
    <col min="13" max="13" width="16.42578125" style="39" customWidth="1"/>
    <col min="14" max="16" width="20.7109375" style="88" bestFit="1" customWidth="1"/>
    <col min="17" max="17" width="11.140625" style="39" bestFit="1" customWidth="1"/>
    <col min="18" max="16384" width="8.7109375" style="39"/>
  </cols>
  <sheetData>
    <row r="1" spans="1:16" s="73" customFormat="1" ht="30">
      <c r="A1" s="218" t="s">
        <v>145</v>
      </c>
      <c r="B1" s="70"/>
      <c r="C1" s="60" t="s">
        <v>160</v>
      </c>
      <c r="D1" s="60" t="s">
        <v>51</v>
      </c>
      <c r="E1" s="60" t="s">
        <v>140</v>
      </c>
      <c r="F1" s="60" t="s">
        <v>21</v>
      </c>
      <c r="G1" s="71" t="s">
        <v>161</v>
      </c>
      <c r="H1" s="71" t="s">
        <v>176</v>
      </c>
      <c r="I1" s="71" t="s">
        <v>187</v>
      </c>
      <c r="J1" s="71" t="s">
        <v>184</v>
      </c>
      <c r="K1" s="60" t="s">
        <v>53</v>
      </c>
      <c r="L1" s="60" t="s">
        <v>188</v>
      </c>
      <c r="M1" s="60" t="s">
        <v>52</v>
      </c>
      <c r="N1" s="72" t="s">
        <v>524</v>
      </c>
      <c r="O1" s="982" t="s">
        <v>499</v>
      </c>
      <c r="P1" s="982" t="s">
        <v>554</v>
      </c>
    </row>
    <row r="2" spans="1:16" s="73" customFormat="1" ht="15.75" customHeight="1">
      <c r="A2" s="224" t="s">
        <v>535</v>
      </c>
      <c r="B2" s="74"/>
      <c r="C2" s="75"/>
      <c r="D2" s="75"/>
      <c r="E2" s="75"/>
      <c r="F2" s="75"/>
      <c r="G2" s="76"/>
      <c r="H2" s="76"/>
      <c r="I2" s="90"/>
      <c r="J2" s="90"/>
      <c r="K2" s="75"/>
      <c r="L2" s="75"/>
      <c r="M2" s="75"/>
      <c r="N2" s="77"/>
      <c r="O2" s="77"/>
      <c r="P2" s="77"/>
    </row>
    <row r="3" spans="1:16" ht="15.75" customHeight="1">
      <c r="A3" s="218">
        <v>50010</v>
      </c>
      <c r="B3" s="78" t="s">
        <v>30</v>
      </c>
      <c r="C3" s="63">
        <f t="shared" ref="C3:C13" si="0">SUM(D3:G3)</f>
        <v>69840</v>
      </c>
      <c r="D3" s="132">
        <f>SUM('Personnel by Fund'!F5)</f>
        <v>64020.000000000007</v>
      </c>
      <c r="E3" s="122"/>
      <c r="F3" s="123"/>
      <c r="G3" s="135">
        <f>SUM('Personnel by Fund'!I5)</f>
        <v>5820</v>
      </c>
      <c r="H3" s="124"/>
      <c r="I3" s="125"/>
      <c r="J3" s="232">
        <f>SUM('Personnel by Fund'!K5)</f>
        <v>2910</v>
      </c>
      <c r="K3" s="132">
        <f>SUM('Personnel by Fund'!L5)</f>
        <v>0</v>
      </c>
      <c r="L3" s="132">
        <f>SUM('Personnel by Fund'!M5)</f>
        <v>8730</v>
      </c>
      <c r="M3" s="132">
        <f>SUM('Personnel by Fund'!N5)</f>
        <v>34920</v>
      </c>
      <c r="N3" s="79">
        <f t="shared" ref="N3:N12" si="1">SUM(D3:M3)</f>
        <v>116400</v>
      </c>
      <c r="O3" s="928">
        <v>116400</v>
      </c>
      <c r="P3" s="932"/>
    </row>
    <row r="4" spans="1:16" ht="15.75" customHeight="1">
      <c r="A4" s="218">
        <v>50016</v>
      </c>
      <c r="B4" s="80" t="s">
        <v>219</v>
      </c>
      <c r="C4" s="63">
        <f t="shared" si="0"/>
        <v>9679.0513508718777</v>
      </c>
      <c r="D4" s="133">
        <f>SUM('Personnel by Fund'!F12)</f>
        <v>9679.0513508718777</v>
      </c>
      <c r="E4" s="117"/>
      <c r="F4" s="118"/>
      <c r="G4" s="119"/>
      <c r="H4" s="118"/>
      <c r="I4" s="120"/>
      <c r="J4" s="136">
        <f>SUM('Personnel by Fund'!K12)</f>
        <v>1209.8814188589847</v>
      </c>
      <c r="K4" s="116"/>
      <c r="L4" s="133">
        <f>SUM('Personnel by Fund'!M12)</f>
        <v>10888.932769730862</v>
      </c>
      <c r="M4" s="133">
        <f>SUM('Personnel by Fund'!N12)</f>
        <v>26617.391214897663</v>
      </c>
      <c r="N4" s="79">
        <f t="shared" si="1"/>
        <v>48395.25675435939</v>
      </c>
      <c r="O4" s="928">
        <v>39589.279755405194</v>
      </c>
      <c r="P4" s="932"/>
    </row>
    <row r="5" spans="1:16" ht="15.75" customHeight="1">
      <c r="A5" s="218">
        <v>50018</v>
      </c>
      <c r="B5" s="80" t="s">
        <v>208</v>
      </c>
      <c r="C5" s="63">
        <f t="shared" si="0"/>
        <v>4355.5731078923436</v>
      </c>
      <c r="D5" s="133">
        <f>SUM('Personnel by Fund'!F19)</f>
        <v>4355.5731078923436</v>
      </c>
      <c r="E5" s="117"/>
      <c r="F5" s="118"/>
      <c r="G5" s="119"/>
      <c r="H5" s="118"/>
      <c r="I5" s="120"/>
      <c r="J5" s="133">
        <f>SUM('Personnel by Fund'!K19)</f>
        <v>725.92885131539072</v>
      </c>
      <c r="K5" s="133">
        <f>SUM('Personnel by Fund'!L19)</f>
        <v>1451.8577026307814</v>
      </c>
      <c r="L5" s="133">
        <f>SUM('Personnel by Fund'!M19)</f>
        <v>7985.2173644692984</v>
      </c>
      <c r="M5" s="133">
        <f>SUM('Personnel by Fund'!N19)</f>
        <v>14518.577026307814</v>
      </c>
      <c r="N5" s="79">
        <f t="shared" si="1"/>
        <v>29037.154052615628</v>
      </c>
      <c r="O5" s="928">
        <v>22622.445574517253</v>
      </c>
      <c r="P5" s="932"/>
    </row>
    <row r="6" spans="1:16" ht="15.75" customHeight="1">
      <c r="A6" s="218">
        <v>50025</v>
      </c>
      <c r="B6" s="80" t="s">
        <v>237</v>
      </c>
      <c r="C6" s="63">
        <f t="shared" si="0"/>
        <v>16563.036</v>
      </c>
      <c r="D6" s="117"/>
      <c r="E6" s="117"/>
      <c r="F6" s="134">
        <f>SUM('Personnel by Fund'!H26)</f>
        <v>16563.036</v>
      </c>
      <c r="G6" s="119"/>
      <c r="H6" s="119"/>
      <c r="I6" s="120"/>
      <c r="J6" s="120"/>
      <c r="K6" s="117"/>
      <c r="L6" s="117"/>
      <c r="M6" s="117"/>
      <c r="N6" s="79">
        <f t="shared" si="1"/>
        <v>16563.036</v>
      </c>
      <c r="O6" s="928">
        <v>13548.998809499999</v>
      </c>
      <c r="P6" s="932"/>
    </row>
    <row r="7" spans="1:16" ht="15.75" customHeight="1">
      <c r="A7" s="218">
        <v>50050</v>
      </c>
      <c r="B7" s="80" t="s">
        <v>211</v>
      </c>
      <c r="C7" s="149">
        <f t="shared" si="0"/>
        <v>0</v>
      </c>
      <c r="D7" s="117"/>
      <c r="E7" s="117"/>
      <c r="F7" s="126"/>
      <c r="G7" s="119"/>
      <c r="H7" s="119"/>
      <c r="I7" s="120"/>
      <c r="J7" s="136">
        <f>SUM('Personnel by Fund'!K33)</f>
        <v>3774.8388331828132</v>
      </c>
      <c r="K7" s="136">
        <f>SUM('Personnel by Fund'!L33)</f>
        <v>7549.6776663656265</v>
      </c>
      <c r="L7" s="136">
        <f>SUM('Personnel by Fund'!M33)</f>
        <v>18874.194165914065</v>
      </c>
      <c r="M7" s="136">
        <f>SUM('Personnel by Fund'!N33)</f>
        <v>45298.065998193757</v>
      </c>
      <c r="N7" s="79">
        <f t="shared" si="1"/>
        <v>75496.776663656259</v>
      </c>
      <c r="O7" s="928">
        <v>61759.051287469585</v>
      </c>
      <c r="P7" s="932"/>
    </row>
    <row r="8" spans="1:16" ht="15.75" customHeight="1">
      <c r="A8" s="218">
        <v>50052</v>
      </c>
      <c r="B8" s="80" t="s">
        <v>235</v>
      </c>
      <c r="C8" s="149">
        <f t="shared" si="0"/>
        <v>0</v>
      </c>
      <c r="D8" s="117"/>
      <c r="E8" s="117"/>
      <c r="F8" s="126"/>
      <c r="G8" s="119"/>
      <c r="H8" s="119"/>
      <c r="I8" s="120"/>
      <c r="J8" s="136">
        <f>SUM('Personnel by Fund'!K40)</f>
        <v>2991.7802309062499</v>
      </c>
      <c r="K8" s="136">
        <f>SUM('Personnel by Fund'!L40)</f>
        <v>5983.5604618124999</v>
      </c>
      <c r="L8" s="136">
        <f>SUM('Personnel by Fund'!M40)</f>
        <v>17950.6813854375</v>
      </c>
      <c r="M8" s="136">
        <f>SUM('Personnel by Fund'!N40)</f>
        <v>32909.582539968753</v>
      </c>
      <c r="N8" s="79">
        <f t="shared" si="1"/>
        <v>59835.604618124999</v>
      </c>
      <c r="O8" s="928">
        <v>48896</v>
      </c>
      <c r="P8" s="932"/>
    </row>
    <row r="9" spans="1:16" ht="15.75" customHeight="1">
      <c r="A9" s="218">
        <v>50054</v>
      </c>
      <c r="B9" s="80" t="s">
        <v>235</v>
      </c>
      <c r="C9" s="63">
        <f t="shared" si="0"/>
        <v>16100.636506959374</v>
      </c>
      <c r="D9" s="117"/>
      <c r="E9" s="117"/>
      <c r="F9" s="132">
        <f>SUM('Personnel by Fund'!H47)</f>
        <v>16100.636506959374</v>
      </c>
      <c r="G9" s="119"/>
      <c r="H9" s="119"/>
      <c r="I9" s="120"/>
      <c r="J9" s="136">
        <f>SUM('Personnel by Fund'!K47)</f>
        <v>2683.4394178265629</v>
      </c>
      <c r="K9" s="136">
        <f>SUM('Personnel by Fund'!L47)</f>
        <v>2683.4394178265629</v>
      </c>
      <c r="L9" s="136">
        <f>SUM('Personnel by Fund'!M47)</f>
        <v>8050.318253479687</v>
      </c>
      <c r="M9" s="136">
        <f>SUM('Personnel by Fund'!N47)</f>
        <v>24150.954760439065</v>
      </c>
      <c r="N9" s="79">
        <f t="shared" si="1"/>
        <v>53668.788356531251</v>
      </c>
      <c r="O9" s="928">
        <v>42068</v>
      </c>
      <c r="P9" s="932"/>
    </row>
    <row r="10" spans="1:16" ht="15.75" customHeight="1">
      <c r="A10" s="218">
        <v>51030</v>
      </c>
      <c r="B10" s="80" t="s">
        <v>198</v>
      </c>
      <c r="C10" s="63">
        <f t="shared" si="0"/>
        <v>13816.581065463</v>
      </c>
      <c r="D10" s="133">
        <f>SUM('Personnel by Fund'!F61)</f>
        <v>10787.149100201215</v>
      </c>
      <c r="E10" s="117"/>
      <c r="F10" s="134">
        <f>SUM('Personnel by Fund'!H61)</f>
        <v>2225.1079652617855</v>
      </c>
      <c r="G10" s="135">
        <f>SUM('Personnel by Fund'!I61)</f>
        <v>804.32400000000007</v>
      </c>
      <c r="H10" s="119"/>
      <c r="I10" s="120"/>
      <c r="J10" s="136">
        <f>SUM('Personnel by Fund'!K61)</f>
        <v>1975.6890615388381</v>
      </c>
      <c r="K10" s="136">
        <f>SUM('Personnel by Fund'!L61)</f>
        <v>2441.791571361422</v>
      </c>
      <c r="L10" s="136">
        <f>SUM('Personnel by Fund'!M61)</f>
        <v>10016.645332374139</v>
      </c>
      <c r="M10" s="136">
        <f>SUM('Personnel by Fund'!N61)</f>
        <v>24656.893786801331</v>
      </c>
      <c r="N10" s="79">
        <f t="shared" si="1"/>
        <v>52907.600817538732</v>
      </c>
      <c r="O10" s="928">
        <v>47662.93776399648</v>
      </c>
      <c r="P10" s="932"/>
    </row>
    <row r="11" spans="1:16" ht="15.75" customHeight="1">
      <c r="A11" s="218">
        <v>51020</v>
      </c>
      <c r="B11" s="80" t="s">
        <v>282</v>
      </c>
      <c r="C11" s="63">
        <f t="shared" si="0"/>
        <v>25729.207999999999</v>
      </c>
      <c r="D11" s="133">
        <f>SUM('Personnel by Fund'!F62)</f>
        <v>17395.031999999999</v>
      </c>
      <c r="E11" s="117"/>
      <c r="F11" s="134">
        <f>'Personnel by Fund'!H62</f>
        <v>7135.8</v>
      </c>
      <c r="G11" s="135">
        <f>SUM('Personnel by Fund'!I62)</f>
        <v>1198.376</v>
      </c>
      <c r="H11" s="119"/>
      <c r="I11" s="120"/>
      <c r="J11" s="136">
        <f>SUM('Personnel by Fund'!K62)</f>
        <v>4410.5320000000002</v>
      </c>
      <c r="K11" s="136">
        <f>SUM('Personnel by Fund'!L62)</f>
        <v>5380.1640000000007</v>
      </c>
      <c r="L11" s="136">
        <f>SUM('Personnel by Fund'!M62)</f>
        <v>21771.436000000002</v>
      </c>
      <c r="M11" s="136">
        <f>SUM('Personnel by Fund'!N62)</f>
        <v>53435.3</v>
      </c>
      <c r="N11" s="79">
        <f t="shared" si="1"/>
        <v>110726.64</v>
      </c>
      <c r="O11" s="928">
        <v>110726.64</v>
      </c>
      <c r="P11" s="932"/>
    </row>
    <row r="12" spans="1:16" ht="15.75" customHeight="1">
      <c r="A12" s="218">
        <v>51010</v>
      </c>
      <c r="B12" s="61" t="s">
        <v>298</v>
      </c>
      <c r="C12" s="63">
        <f t="shared" si="0"/>
        <v>27153.28087829053</v>
      </c>
      <c r="D12" s="133">
        <f>SUM('Personnel by Fund'!F63)</f>
        <v>21199.636003000363</v>
      </c>
      <c r="E12" s="117"/>
      <c r="F12" s="134">
        <f>SUM('Personnel by Fund'!H63)</f>
        <v>4372.9328752901665</v>
      </c>
      <c r="G12" s="135">
        <f>SUM('Personnel by Fund'!I63)</f>
        <v>1580.7120000000002</v>
      </c>
      <c r="H12" s="118"/>
      <c r="I12" s="120"/>
      <c r="J12" s="136">
        <f>SUM('Personnel by Fund'!K63)</f>
        <v>3882.7579530676448</v>
      </c>
      <c r="K12" s="136">
        <f>SUM('Personnel by Fund'!L63)</f>
        <v>4798.7741735293939</v>
      </c>
      <c r="L12" s="136">
        <f>SUM('Personnel by Fund'!M63)</f>
        <v>19685.389813840931</v>
      </c>
      <c r="M12" s="136">
        <f>SUM('Personnel by Fund'!N63)</f>
        <v>48457.397630211592</v>
      </c>
      <c r="N12" s="79">
        <f t="shared" si="1"/>
        <v>103977.60044894009</v>
      </c>
      <c r="O12" s="928">
        <v>86496.850877064528</v>
      </c>
      <c r="P12" s="932"/>
    </row>
    <row r="13" spans="1:16" ht="15.75" customHeight="1">
      <c r="A13" s="218"/>
      <c r="B13" s="85" t="s">
        <v>150</v>
      </c>
      <c r="C13" s="65">
        <f t="shared" si="0"/>
        <v>183237.36690947716</v>
      </c>
      <c r="D13" s="86">
        <f>SUM(D3:D12)</f>
        <v>127436.44156196582</v>
      </c>
      <c r="E13" s="86"/>
      <c r="F13" s="86">
        <f>SUM(F3:F12)</f>
        <v>46397.513347511325</v>
      </c>
      <c r="G13" s="86">
        <f>SUM(G3:G12)</f>
        <v>9403.4120000000003</v>
      </c>
      <c r="H13" s="86"/>
      <c r="I13" s="91"/>
      <c r="J13" s="91">
        <f t="shared" ref="J13:O13" si="2">SUM(J3:J12)</f>
        <v>24564.847766696486</v>
      </c>
      <c r="K13" s="86">
        <f t="shared" si="2"/>
        <v>30289.264993526289</v>
      </c>
      <c r="L13" s="86">
        <f t="shared" si="2"/>
        <v>123952.81508524649</v>
      </c>
      <c r="M13" s="86">
        <f t="shared" si="2"/>
        <v>304964.16295681999</v>
      </c>
      <c r="N13" s="86">
        <f t="shared" si="2"/>
        <v>667008.45771176636</v>
      </c>
      <c r="O13" s="86">
        <f t="shared" si="2"/>
        <v>589770.20406795305</v>
      </c>
      <c r="P13" s="86">
        <f>'GF Combined Expenses'!F16+Street!F22+Water!F30+Wastewater!F28+'Storm Drain'!F23</f>
        <v>549857</v>
      </c>
    </row>
    <row r="14" spans="1:16" s="73" customFormat="1" ht="15.75" customHeight="1">
      <c r="A14" s="220"/>
      <c r="B14" s="81"/>
      <c r="C14" s="149"/>
      <c r="D14" s="127"/>
      <c r="E14" s="127"/>
      <c r="F14" s="127"/>
      <c r="G14" s="127"/>
      <c r="H14" s="127"/>
      <c r="I14" s="128"/>
      <c r="J14" s="128"/>
      <c r="K14" s="127"/>
      <c r="L14" s="127"/>
      <c r="M14" s="127"/>
      <c r="N14" s="82">
        <f>SUM(H13:M13)+C13</f>
        <v>667008.45771176647</v>
      </c>
      <c r="O14" s="82"/>
      <c r="P14" s="82"/>
    </row>
    <row r="15" spans="1:16" s="73" customFormat="1" ht="15.75" customHeight="1">
      <c r="A15" s="217" t="s">
        <v>144</v>
      </c>
      <c r="B15" s="43"/>
      <c r="C15" s="83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84"/>
      <c r="O15" s="84"/>
      <c r="P15" s="84"/>
    </row>
    <row r="16" spans="1:16" ht="15.75" customHeight="1">
      <c r="A16" s="221">
        <v>52016</v>
      </c>
      <c r="B16" s="66" t="s">
        <v>94</v>
      </c>
      <c r="C16" s="63">
        <f>SUM(D16:G16)</f>
        <v>3500</v>
      </c>
      <c r="D16" s="121"/>
      <c r="E16" s="141">
        <f>SUM('GF-NonDep''t'!H12)</f>
        <v>3500</v>
      </c>
      <c r="F16" s="121"/>
      <c r="G16" s="121"/>
      <c r="H16" s="121"/>
      <c r="I16" s="130"/>
      <c r="J16" s="140">
        <f>'Storm Drain'!H26</f>
        <v>70</v>
      </c>
      <c r="K16" s="140">
        <f>Street!H25</f>
        <v>0</v>
      </c>
      <c r="L16" s="140">
        <f>SUM(Wastewater!H31)</f>
        <v>10000</v>
      </c>
      <c r="M16" s="140">
        <f>SUM(Water!H33)</f>
        <v>30000</v>
      </c>
      <c r="N16" s="79">
        <f t="shared" ref="N16:N57" si="3">SUM(D16:M16)</f>
        <v>43570</v>
      </c>
      <c r="O16" s="929">
        <v>9500</v>
      </c>
      <c r="P16" s="932"/>
    </row>
    <row r="17" spans="1:16" ht="15.75" customHeight="1">
      <c r="A17" s="218">
        <v>52101</v>
      </c>
      <c r="B17" s="67" t="s">
        <v>180</v>
      </c>
      <c r="C17" s="63">
        <f>SUM(D17:G17)</f>
        <v>1500</v>
      </c>
      <c r="D17" s="121"/>
      <c r="E17" s="140">
        <f>SUM('GF-NonDep''t'!H13)</f>
        <v>1500</v>
      </c>
      <c r="F17" s="121"/>
      <c r="G17" s="121"/>
      <c r="H17" s="121"/>
      <c r="I17" s="130"/>
      <c r="J17" s="130"/>
      <c r="K17" s="130"/>
      <c r="L17" s="140">
        <f>SUM(Wastewater!H32)</f>
        <v>500</v>
      </c>
      <c r="M17" s="140">
        <f>SUM(Water!H34)</f>
        <v>1000</v>
      </c>
      <c r="N17" s="79">
        <f t="shared" si="3"/>
        <v>3000</v>
      </c>
      <c r="O17" s="929">
        <v>1450</v>
      </c>
      <c r="P17" s="932"/>
    </row>
    <row r="18" spans="1:16" ht="15.75" customHeight="1">
      <c r="A18" s="218">
        <v>52001</v>
      </c>
      <c r="B18" s="68" t="s">
        <v>118</v>
      </c>
      <c r="C18" s="149"/>
      <c r="D18" s="121"/>
      <c r="E18" s="121"/>
      <c r="F18" s="121"/>
      <c r="G18" s="121"/>
      <c r="H18" s="121"/>
      <c r="I18" s="130"/>
      <c r="J18" s="130"/>
      <c r="K18" s="130"/>
      <c r="L18" s="140">
        <f>SUM(Wastewater!H33)</f>
        <v>250</v>
      </c>
      <c r="M18" s="140">
        <f>SUM(Water!H35)</f>
        <v>100</v>
      </c>
      <c r="N18" s="79">
        <f t="shared" si="3"/>
        <v>350</v>
      </c>
      <c r="O18" s="929">
        <v>34500</v>
      </c>
      <c r="P18" s="932"/>
    </row>
    <row r="19" spans="1:16" ht="15.75" customHeight="1">
      <c r="A19" s="218">
        <v>52017</v>
      </c>
      <c r="B19" s="67" t="s">
        <v>33</v>
      </c>
      <c r="C19" s="63">
        <f t="shared" ref="C19:C57" si="4">SUM(D19:G19)</f>
        <v>200</v>
      </c>
      <c r="D19" s="140">
        <f>SUM('GF-Admin &amp; Plng'!H18)</f>
        <v>200</v>
      </c>
      <c r="E19" s="121"/>
      <c r="F19" s="121"/>
      <c r="G19" s="121"/>
      <c r="H19" s="121"/>
      <c r="I19" s="130"/>
      <c r="J19" s="130"/>
      <c r="K19" s="130"/>
      <c r="L19" s="130"/>
      <c r="M19" s="130"/>
      <c r="N19" s="79">
        <f t="shared" si="3"/>
        <v>200</v>
      </c>
      <c r="O19" s="929">
        <v>15000</v>
      </c>
      <c r="P19" s="932"/>
    </row>
    <row r="20" spans="1:16" ht="15.75" hidden="1" customHeight="1">
      <c r="A20" s="218">
        <v>52020</v>
      </c>
      <c r="B20" s="67" t="s">
        <v>34</v>
      </c>
      <c r="C20" s="981">
        <f t="shared" si="4"/>
        <v>0</v>
      </c>
      <c r="D20" s="535"/>
      <c r="E20" s="121"/>
      <c r="F20" s="121"/>
      <c r="G20" s="121"/>
      <c r="H20" s="121"/>
      <c r="I20" s="130"/>
      <c r="J20" s="535"/>
      <c r="K20" s="535"/>
      <c r="L20" s="140">
        <f>SUM(Wastewater!H39)</f>
        <v>0</v>
      </c>
      <c r="M20" s="140"/>
      <c r="N20" s="79">
        <f t="shared" si="3"/>
        <v>0</v>
      </c>
      <c r="O20" s="929">
        <v>0</v>
      </c>
      <c r="P20" s="932"/>
    </row>
    <row r="21" spans="1:16" ht="15.75" customHeight="1">
      <c r="A21" s="218">
        <v>52018</v>
      </c>
      <c r="B21" s="67" t="s">
        <v>35</v>
      </c>
      <c r="C21" s="63">
        <f t="shared" si="4"/>
        <v>250</v>
      </c>
      <c r="D21" s="140">
        <f>SUM('GF-Admin &amp; Plng'!H20)</f>
        <v>250</v>
      </c>
      <c r="E21" s="121"/>
      <c r="F21" s="121"/>
      <c r="G21" s="121"/>
      <c r="H21" s="121"/>
      <c r="I21" s="130"/>
      <c r="J21" s="130"/>
      <c r="K21" s="130"/>
      <c r="L21" s="130"/>
      <c r="M21" s="130"/>
      <c r="N21" s="79">
        <f t="shared" si="3"/>
        <v>250</v>
      </c>
      <c r="O21" s="929">
        <v>30000</v>
      </c>
      <c r="P21" s="932"/>
    </row>
    <row r="22" spans="1:16" ht="15.75" customHeight="1">
      <c r="A22" s="218">
        <v>52019</v>
      </c>
      <c r="B22" s="69" t="s">
        <v>72</v>
      </c>
      <c r="C22" s="63">
        <f t="shared" si="4"/>
        <v>6500</v>
      </c>
      <c r="D22" s="140">
        <f>'GF-Admin &amp; Plng'!H21</f>
        <v>2500</v>
      </c>
      <c r="E22" s="140">
        <f>'GF-NonDep''t'!H16</f>
        <v>4000</v>
      </c>
      <c r="F22" s="121"/>
      <c r="G22" s="537"/>
      <c r="H22" s="119"/>
      <c r="I22" s="130"/>
      <c r="J22" s="140">
        <f>SUM('Storm Drain'!H27)</f>
        <v>1400</v>
      </c>
      <c r="K22" s="140">
        <f>SUM(Street!H26)</f>
        <v>10000</v>
      </c>
      <c r="L22" s="130"/>
      <c r="M22" s="140">
        <f>Water!H36</f>
        <v>45000</v>
      </c>
      <c r="N22" s="79">
        <f t="shared" si="3"/>
        <v>62900</v>
      </c>
      <c r="O22" s="929">
        <f>39429+40000</f>
        <v>79429</v>
      </c>
      <c r="P22" s="932"/>
    </row>
    <row r="23" spans="1:16" ht="15.75" customHeight="1">
      <c r="A23" s="222"/>
      <c r="B23" s="980" t="s">
        <v>231</v>
      </c>
      <c r="C23" s="63">
        <f t="shared" si="4"/>
        <v>15000</v>
      </c>
      <c r="D23" s="140">
        <f>'GF-Admin &amp; Plng'!H22</f>
        <v>15000</v>
      </c>
      <c r="E23" s="121"/>
      <c r="F23" s="121"/>
      <c r="G23" s="121"/>
      <c r="H23" s="121"/>
      <c r="I23" s="130"/>
      <c r="J23" s="130"/>
      <c r="K23" s="140">
        <f>Street!H28</f>
        <v>0</v>
      </c>
      <c r="L23" s="140">
        <f>Wastewater!H34</f>
        <v>45000</v>
      </c>
      <c r="M23" s="140">
        <f>SUM(Water!H38)</f>
        <v>5500</v>
      </c>
      <c r="N23" s="79">
        <f t="shared" si="3"/>
        <v>65500</v>
      </c>
      <c r="O23" s="929">
        <f>37200+20000</f>
        <v>57200</v>
      </c>
      <c r="P23" s="932"/>
    </row>
    <row r="24" spans="1:16" ht="15.75" customHeight="1">
      <c r="A24" s="218"/>
      <c r="B24" s="980" t="s">
        <v>143</v>
      </c>
      <c r="C24" s="63">
        <f t="shared" si="4"/>
        <v>500</v>
      </c>
      <c r="D24" s="121"/>
      <c r="E24" s="121"/>
      <c r="F24" s="141">
        <f>'GF-Parks'!H18</f>
        <v>500</v>
      </c>
      <c r="G24" s="121"/>
      <c r="H24" s="130"/>
      <c r="I24" s="130"/>
      <c r="J24" s="130"/>
      <c r="K24" s="130"/>
      <c r="L24" s="130"/>
      <c r="M24" s="130"/>
      <c r="N24" s="79">
        <f t="shared" si="3"/>
        <v>500</v>
      </c>
      <c r="O24" s="929">
        <v>800</v>
      </c>
      <c r="P24" s="932"/>
    </row>
    <row r="25" spans="1:16" ht="15.75" customHeight="1">
      <c r="A25" s="218"/>
      <c r="B25" s="980" t="s">
        <v>539</v>
      </c>
      <c r="C25" s="202">
        <f t="shared" si="4"/>
        <v>36000</v>
      </c>
      <c r="D25" s="535"/>
      <c r="E25" s="979">
        <v>0</v>
      </c>
      <c r="F25" s="121"/>
      <c r="G25" s="141">
        <f>SUM('GF-Public Safety'!H23)</f>
        <v>36000</v>
      </c>
      <c r="H25" s="130"/>
      <c r="I25" s="130"/>
      <c r="J25" s="130"/>
      <c r="K25" s="130"/>
      <c r="L25" s="130"/>
      <c r="M25" s="130"/>
      <c r="N25" s="79">
        <f t="shared" si="3"/>
        <v>36000</v>
      </c>
      <c r="O25" s="929">
        <v>30000</v>
      </c>
      <c r="P25" s="932"/>
    </row>
    <row r="26" spans="1:16" ht="15.75" customHeight="1">
      <c r="A26" s="218"/>
      <c r="B26" s="980" t="s">
        <v>538</v>
      </c>
      <c r="C26" s="202">
        <f t="shared" si="4"/>
        <v>5000</v>
      </c>
      <c r="D26" s="121"/>
      <c r="E26" s="135">
        <f>'GF-NonDep''t'!H17</f>
        <v>5000</v>
      </c>
      <c r="F26" s="121"/>
      <c r="G26" s="121"/>
      <c r="H26" s="130"/>
      <c r="I26" s="130"/>
      <c r="J26" s="130"/>
      <c r="K26" s="130"/>
      <c r="L26" s="130"/>
      <c r="M26" s="130"/>
      <c r="N26" s="79">
        <f t="shared" si="3"/>
        <v>5000</v>
      </c>
      <c r="O26" s="929">
        <v>12000</v>
      </c>
      <c r="P26" s="932"/>
    </row>
    <row r="27" spans="1:16" s="780" customFormat="1" ht="15.75" customHeight="1">
      <c r="A27" s="218">
        <v>52800</v>
      </c>
      <c r="B27" s="980" t="s">
        <v>540</v>
      </c>
      <c r="C27" s="202">
        <f t="shared" si="4"/>
        <v>0</v>
      </c>
      <c r="D27" s="121"/>
      <c r="E27" s="135">
        <v>0</v>
      </c>
      <c r="F27" s="121"/>
      <c r="G27" s="121"/>
      <c r="H27" s="130"/>
      <c r="I27" s="130"/>
      <c r="J27" s="130"/>
      <c r="K27" s="130"/>
      <c r="L27" s="130"/>
      <c r="M27" s="130"/>
      <c r="N27" s="932">
        <f t="shared" si="3"/>
        <v>0</v>
      </c>
      <c r="O27" s="932">
        <v>50000</v>
      </c>
      <c r="P27" s="932"/>
    </row>
    <row r="28" spans="1:16" s="780" customFormat="1" ht="15.75" customHeight="1">
      <c r="A28" s="218">
        <v>52102</v>
      </c>
      <c r="B28" s="67" t="s">
        <v>36</v>
      </c>
      <c r="C28" s="202">
        <f t="shared" si="4"/>
        <v>200</v>
      </c>
      <c r="D28" s="537"/>
      <c r="E28" s="140">
        <f>SUM('GF-NonDep''t'!H19)</f>
        <v>200</v>
      </c>
      <c r="F28" s="535"/>
      <c r="G28" s="130"/>
      <c r="H28" s="130"/>
      <c r="I28" s="130"/>
      <c r="J28" s="130"/>
      <c r="K28" s="130"/>
      <c r="L28" s="140">
        <f>Wastewater!H35</f>
        <v>1000</v>
      </c>
      <c r="M28" s="140">
        <f>SUM(Water!H37)</f>
        <v>3000</v>
      </c>
      <c r="N28" s="932">
        <f t="shared" si="3"/>
        <v>4200</v>
      </c>
      <c r="O28" s="932">
        <v>8350</v>
      </c>
      <c r="P28" s="932"/>
    </row>
    <row r="29" spans="1:16" ht="15.75" customHeight="1">
      <c r="A29" s="218">
        <v>52113</v>
      </c>
      <c r="B29" s="67" t="s">
        <v>60</v>
      </c>
      <c r="C29" s="202">
        <f t="shared" si="4"/>
        <v>5700</v>
      </c>
      <c r="D29" s="121"/>
      <c r="E29" s="140">
        <f>'GF-NonDep''t'!H20</f>
        <v>5700</v>
      </c>
      <c r="G29" s="121"/>
      <c r="H29" s="130"/>
      <c r="I29" s="130"/>
      <c r="J29" s="130"/>
      <c r="K29" s="130"/>
      <c r="N29" s="79">
        <f t="shared" si="3"/>
        <v>5700</v>
      </c>
      <c r="O29" s="929">
        <v>1000</v>
      </c>
      <c r="P29" s="932"/>
    </row>
    <row r="30" spans="1:16" ht="15.75" customHeight="1">
      <c r="A30" s="218">
        <v>52022</v>
      </c>
      <c r="B30" s="67" t="s">
        <v>138</v>
      </c>
      <c r="C30" s="202">
        <f t="shared" si="4"/>
        <v>20500</v>
      </c>
      <c r="D30" s="119"/>
      <c r="E30" s="140">
        <f>SUM('GF-NonDep''t'!H24)</f>
        <v>20000</v>
      </c>
      <c r="F30" s="140">
        <f>SUM('GF-Parks'!H21)</f>
        <v>500</v>
      </c>
      <c r="G30" s="130"/>
      <c r="H30" s="130"/>
      <c r="I30" s="130"/>
      <c r="J30" s="130"/>
      <c r="K30" s="130"/>
      <c r="L30" s="140">
        <f>SUM(Wastewater!H36)</f>
        <v>3300</v>
      </c>
      <c r="M30" s="140">
        <f>SUM(Water!H39)</f>
        <v>7600</v>
      </c>
      <c r="N30" s="79">
        <f t="shared" si="3"/>
        <v>31400</v>
      </c>
      <c r="O30" s="929">
        <v>8200</v>
      </c>
      <c r="P30" s="932"/>
    </row>
    <row r="31" spans="1:16" ht="15.75" customHeight="1">
      <c r="A31" s="218">
        <v>52025</v>
      </c>
      <c r="B31" s="67" t="s">
        <v>163</v>
      </c>
      <c r="C31" s="202">
        <f t="shared" si="4"/>
        <v>5750</v>
      </c>
      <c r="D31" s="119"/>
      <c r="E31" s="140">
        <f>SUM('GF-NonDep''t'!H25)</f>
        <v>4500</v>
      </c>
      <c r="F31" s="140">
        <f>SUM('GF-Parks'!H22)</f>
        <v>1250</v>
      </c>
      <c r="G31" s="130"/>
      <c r="H31" s="130"/>
      <c r="I31" s="130"/>
      <c r="J31" s="130"/>
      <c r="K31" s="130"/>
      <c r="L31" s="140">
        <f>SUM(Wastewater!H37)</f>
        <v>3800</v>
      </c>
      <c r="M31" s="140">
        <f>SUM(Water!H40)</f>
        <v>35000</v>
      </c>
      <c r="N31" s="79">
        <f t="shared" si="3"/>
        <v>44550</v>
      </c>
      <c r="O31" s="929">
        <v>5400</v>
      </c>
      <c r="P31" s="932"/>
    </row>
    <row r="32" spans="1:16" ht="15.75" customHeight="1">
      <c r="A32" s="218">
        <v>52023</v>
      </c>
      <c r="B32" s="67" t="s">
        <v>232</v>
      </c>
      <c r="C32" s="202">
        <f t="shared" si="4"/>
        <v>51000</v>
      </c>
      <c r="D32" s="121"/>
      <c r="E32" s="140">
        <f>SUM('GF-NonDep''t'!H22)</f>
        <v>50000</v>
      </c>
      <c r="F32" s="140">
        <f>SUM('GF-Parks'!H20)</f>
        <v>1000</v>
      </c>
      <c r="G32" s="121"/>
      <c r="H32" s="130"/>
      <c r="I32" s="130"/>
      <c r="J32" s="140">
        <f>SUM('Storm Drain'!H29)</f>
        <v>200</v>
      </c>
      <c r="K32" s="140">
        <f>SUM(Street!H31)</f>
        <v>1500</v>
      </c>
      <c r="L32" s="535"/>
      <c r="M32" s="140">
        <f>SUM(Water!H41)</f>
        <v>20000</v>
      </c>
      <c r="N32" s="79">
        <f t="shared" si="3"/>
        <v>72700</v>
      </c>
      <c r="O32" s="929">
        <v>4050</v>
      </c>
      <c r="P32" s="932"/>
    </row>
    <row r="33" spans="1:16" ht="15.75" customHeight="1">
      <c r="A33" s="218">
        <v>52111</v>
      </c>
      <c r="B33" s="67" t="s">
        <v>230</v>
      </c>
      <c r="C33" s="202">
        <f t="shared" si="4"/>
        <v>800</v>
      </c>
      <c r="D33" s="121"/>
      <c r="E33" s="121"/>
      <c r="F33" s="140">
        <f>SUM('GF-Parks'!H23)</f>
        <v>800</v>
      </c>
      <c r="G33" s="121"/>
      <c r="H33" s="130"/>
      <c r="I33" s="130"/>
      <c r="J33" s="130"/>
      <c r="K33" s="130"/>
      <c r="L33" s="130"/>
      <c r="M33" s="130"/>
      <c r="N33" s="79">
        <f t="shared" si="3"/>
        <v>800</v>
      </c>
      <c r="O33" s="929">
        <v>2000</v>
      </c>
      <c r="P33" s="932"/>
    </row>
    <row r="34" spans="1:16" ht="15.75" customHeight="1">
      <c r="A34" s="218">
        <v>53001</v>
      </c>
      <c r="B34" s="67" t="s">
        <v>168</v>
      </c>
      <c r="C34" s="202">
        <f t="shared" si="4"/>
        <v>700</v>
      </c>
      <c r="D34" s="121"/>
      <c r="E34" s="142">
        <f>SUM('GF-NonDep''t'!H26)</f>
        <v>500</v>
      </c>
      <c r="F34" s="140">
        <f>SUM('GF-Parks'!H24)</f>
        <v>200</v>
      </c>
      <c r="G34" s="121"/>
      <c r="H34" s="130"/>
      <c r="I34" s="130"/>
      <c r="J34" s="130"/>
      <c r="K34" s="130"/>
      <c r="L34" s="130"/>
      <c r="M34" s="130"/>
      <c r="N34" s="79">
        <f t="shared" si="3"/>
        <v>700</v>
      </c>
      <c r="O34" s="929">
        <v>5500</v>
      </c>
      <c r="P34" s="932"/>
    </row>
    <row r="35" spans="1:16" ht="15.75" customHeight="1">
      <c r="A35" s="218">
        <v>52103</v>
      </c>
      <c r="B35" s="67" t="s">
        <v>62</v>
      </c>
      <c r="C35" s="202">
        <f t="shared" si="4"/>
        <v>900</v>
      </c>
      <c r="D35" s="121"/>
      <c r="E35" s="142">
        <f>SUM('GF-NonDep''t'!H27)</f>
        <v>800</v>
      </c>
      <c r="F35" s="140">
        <f>SUM('GF-Parks'!H25)</f>
        <v>100</v>
      </c>
      <c r="G35" s="130"/>
      <c r="H35" s="130"/>
      <c r="I35" s="130"/>
      <c r="J35" s="130"/>
      <c r="K35" s="140">
        <f>SUM(Street!H32)</f>
        <v>2000</v>
      </c>
      <c r="L35" s="140">
        <f>SUM(Wastewater!H40)</f>
        <v>1500</v>
      </c>
      <c r="M35" s="140">
        <f>SUM(Water!H42)</f>
        <v>2000</v>
      </c>
      <c r="N35" s="79">
        <f t="shared" si="3"/>
        <v>6400</v>
      </c>
      <c r="O35" s="929">
        <v>25650</v>
      </c>
      <c r="P35" s="932"/>
    </row>
    <row r="36" spans="1:16" ht="15.75" customHeight="1">
      <c r="A36" s="218">
        <v>52104</v>
      </c>
      <c r="B36" s="67" t="s">
        <v>181</v>
      </c>
      <c r="C36" s="202">
        <f t="shared" si="4"/>
        <v>0</v>
      </c>
      <c r="D36" s="121"/>
      <c r="E36" s="121"/>
      <c r="F36" s="121"/>
      <c r="G36" s="121"/>
      <c r="H36" s="131"/>
      <c r="I36" s="130"/>
      <c r="J36" s="130"/>
      <c r="K36" s="130"/>
      <c r="L36" s="140">
        <f>SUM(Wastewater!H41)</f>
        <v>0</v>
      </c>
      <c r="M36" s="140">
        <f>SUM(Water!H43)</f>
        <v>3000</v>
      </c>
      <c r="N36" s="79">
        <f t="shared" si="3"/>
        <v>3000</v>
      </c>
      <c r="O36" s="929">
        <v>9000</v>
      </c>
      <c r="P36" s="932"/>
    </row>
    <row r="37" spans="1:16" ht="15.75" customHeight="1">
      <c r="A37" s="218">
        <v>52012</v>
      </c>
      <c r="B37" s="67" t="s">
        <v>162</v>
      </c>
      <c r="C37" s="202">
        <f t="shared" si="4"/>
        <v>1400</v>
      </c>
      <c r="D37" s="121"/>
      <c r="E37" s="140">
        <f>SUM('GF-NonDep''t'!H28)</f>
        <v>1200</v>
      </c>
      <c r="F37" s="140">
        <f>SUM('GF-Parks'!H26)</f>
        <v>200</v>
      </c>
      <c r="G37" s="121"/>
      <c r="H37" s="130"/>
      <c r="I37" s="130"/>
      <c r="J37" s="130"/>
      <c r="K37" s="130"/>
      <c r="L37" s="130"/>
      <c r="M37" s="130"/>
      <c r="N37" s="79">
        <f t="shared" si="3"/>
        <v>1400</v>
      </c>
      <c r="O37" s="929">
        <v>6000</v>
      </c>
      <c r="P37" s="932"/>
    </row>
    <row r="38" spans="1:16" ht="15.75" customHeight="1">
      <c r="A38" s="218">
        <v>52111</v>
      </c>
      <c r="B38" s="67" t="s">
        <v>63</v>
      </c>
      <c r="C38" s="202">
        <f t="shared" si="4"/>
        <v>2500</v>
      </c>
      <c r="D38" s="121"/>
      <c r="E38" s="140">
        <f>SUM('GF-NonDep''t'!H29)</f>
        <v>2500</v>
      </c>
      <c r="F38" s="121"/>
      <c r="G38" s="121"/>
      <c r="H38" s="130"/>
      <c r="I38" s="130"/>
      <c r="J38" s="130"/>
      <c r="K38" s="130"/>
      <c r="L38" s="130"/>
      <c r="M38" s="130"/>
      <c r="N38" s="79">
        <f t="shared" si="3"/>
        <v>2500</v>
      </c>
      <c r="O38" s="929">
        <v>1000</v>
      </c>
      <c r="P38" s="932"/>
    </row>
    <row r="39" spans="1:16" ht="15.75" customHeight="1">
      <c r="A39" s="218">
        <v>52106</v>
      </c>
      <c r="B39" s="67" t="s">
        <v>141</v>
      </c>
      <c r="C39" s="202">
        <f t="shared" si="4"/>
        <v>30500</v>
      </c>
      <c r="D39" s="140">
        <f>SUM('GF-Admin &amp; Plng'!H23)</f>
        <v>30000</v>
      </c>
      <c r="E39" s="121"/>
      <c r="F39" s="135">
        <f>SUM('GF-Parks'!H27)</f>
        <v>500</v>
      </c>
      <c r="G39" s="121"/>
      <c r="H39" s="130"/>
      <c r="I39" s="130"/>
      <c r="J39" s="130"/>
      <c r="K39" s="130"/>
      <c r="L39" s="140">
        <f>SUM(Wastewater!H42)</f>
        <v>0</v>
      </c>
      <c r="M39" s="130"/>
      <c r="N39" s="79">
        <f t="shared" si="3"/>
        <v>30500</v>
      </c>
      <c r="O39" s="929">
        <v>850</v>
      </c>
      <c r="P39" s="932"/>
    </row>
    <row r="40" spans="1:16" ht="15.75" customHeight="1">
      <c r="A40" s="218">
        <v>52030</v>
      </c>
      <c r="B40" s="67" t="s">
        <v>23</v>
      </c>
      <c r="C40" s="202">
        <f t="shared" si="4"/>
        <v>29150</v>
      </c>
      <c r="D40" s="140">
        <f>SUM('GF-Admin &amp; Plng'!H24)</f>
        <v>27000</v>
      </c>
      <c r="E40" s="135">
        <f>SUM('GF-NonDep''t'!H31)</f>
        <v>750</v>
      </c>
      <c r="F40" s="135">
        <f>SUM('GF-Parks'!H28)</f>
        <v>1400</v>
      </c>
      <c r="G40" s="130"/>
      <c r="H40" s="130"/>
      <c r="I40" s="130"/>
      <c r="J40" s="130"/>
      <c r="K40" s="140">
        <f>Street!H33</f>
        <v>0</v>
      </c>
      <c r="L40" s="140">
        <f>SUM(Wastewater!H43)</f>
        <v>1000</v>
      </c>
      <c r="M40" s="140">
        <f>SUM(Water!H45)</f>
        <v>4000</v>
      </c>
      <c r="N40" s="79">
        <f t="shared" si="3"/>
        <v>34150</v>
      </c>
      <c r="O40" s="929">
        <v>6350</v>
      </c>
      <c r="P40" s="932"/>
    </row>
    <row r="41" spans="1:16" ht="15.75" customHeight="1">
      <c r="A41" s="218">
        <v>52112</v>
      </c>
      <c r="B41" s="67" t="s">
        <v>137</v>
      </c>
      <c r="C41" s="202">
        <f t="shared" si="4"/>
        <v>1500</v>
      </c>
      <c r="D41" s="121"/>
      <c r="E41" s="121"/>
      <c r="F41" s="140">
        <f>SUM('GF-Parks'!H34)</f>
        <v>1500</v>
      </c>
      <c r="G41" s="121"/>
      <c r="H41" s="130"/>
      <c r="I41" s="130"/>
      <c r="J41" s="130"/>
      <c r="K41" s="130"/>
      <c r="L41" s="130"/>
      <c r="M41" s="130"/>
      <c r="N41" s="79">
        <f t="shared" si="3"/>
        <v>1500</v>
      </c>
      <c r="O41" s="929">
        <v>6000</v>
      </c>
      <c r="P41" s="932"/>
    </row>
    <row r="42" spans="1:16" ht="15.75" customHeight="1">
      <c r="A42" s="218">
        <v>52107</v>
      </c>
      <c r="B42" s="67" t="s">
        <v>119</v>
      </c>
      <c r="C42" s="202">
        <f t="shared" si="4"/>
        <v>0</v>
      </c>
      <c r="D42" s="121"/>
      <c r="E42" s="121"/>
      <c r="F42" s="121"/>
      <c r="G42" s="121"/>
      <c r="H42" s="130"/>
      <c r="I42" s="130"/>
      <c r="J42" s="130"/>
      <c r="K42" s="130"/>
      <c r="L42" s="140">
        <f>SUM(Wastewater!H44)</f>
        <v>500</v>
      </c>
      <c r="M42" s="140">
        <f>SUM(Water!H46)</f>
        <v>2000</v>
      </c>
      <c r="N42" s="79">
        <f t="shared" si="3"/>
        <v>2500</v>
      </c>
      <c r="O42" s="929">
        <v>3200</v>
      </c>
      <c r="P42" s="932"/>
    </row>
    <row r="43" spans="1:16" ht="15.75" customHeight="1">
      <c r="A43" s="218">
        <v>52108</v>
      </c>
      <c r="B43" s="67" t="s">
        <v>37</v>
      </c>
      <c r="C43" s="202">
        <f t="shared" si="4"/>
        <v>5350</v>
      </c>
      <c r="D43" s="121"/>
      <c r="E43" s="140">
        <f>SUM('GF-NonDep''t'!H33)</f>
        <v>5250</v>
      </c>
      <c r="F43" s="140">
        <f>'GF-Parks'!H29</f>
        <v>100</v>
      </c>
      <c r="G43" s="130"/>
      <c r="H43" s="130"/>
      <c r="I43" s="130"/>
      <c r="J43" s="130"/>
      <c r="K43" s="130"/>
      <c r="L43" s="140">
        <f>SUM(Wastewater!H45)</f>
        <v>100</v>
      </c>
      <c r="M43" s="140">
        <f>SUM(Water!H47)</f>
        <v>200</v>
      </c>
      <c r="N43" s="79">
        <f t="shared" si="3"/>
        <v>5650</v>
      </c>
      <c r="O43" s="929">
        <v>3725</v>
      </c>
      <c r="P43" s="932"/>
    </row>
    <row r="44" spans="1:16" ht="15.75" customHeight="1">
      <c r="A44" s="218">
        <v>52199</v>
      </c>
      <c r="B44" s="67" t="s">
        <v>203</v>
      </c>
      <c r="C44" s="202">
        <f t="shared" si="4"/>
        <v>6150</v>
      </c>
      <c r="D44" s="121"/>
      <c r="E44" s="140">
        <f>SUM('GF-NonDep''t'!H34)</f>
        <v>6150</v>
      </c>
      <c r="F44" s="121"/>
      <c r="G44" s="121"/>
      <c r="H44" s="130"/>
      <c r="I44" s="130"/>
      <c r="J44" s="130"/>
      <c r="K44" s="130"/>
      <c r="L44" s="130"/>
      <c r="M44" s="130"/>
      <c r="N44" s="79">
        <f t="shared" si="3"/>
        <v>6150</v>
      </c>
      <c r="O44" s="929">
        <v>9000</v>
      </c>
      <c r="P44" s="932"/>
    </row>
    <row r="45" spans="1:16" ht="15.75" customHeight="1">
      <c r="A45" s="218">
        <v>52010</v>
      </c>
      <c r="B45" s="67" t="s">
        <v>38</v>
      </c>
      <c r="C45" s="202">
        <f t="shared" si="4"/>
        <v>2500</v>
      </c>
      <c r="D45" s="130"/>
      <c r="E45" s="140">
        <f>SUM('GF-NonDep''t'!H35)</f>
        <v>2500</v>
      </c>
      <c r="F45" s="121"/>
      <c r="G45" s="121"/>
      <c r="H45" s="130"/>
      <c r="I45" s="130"/>
      <c r="J45" s="130"/>
      <c r="K45" s="130"/>
      <c r="L45" s="140">
        <f>SUM(Wastewater!H46)</f>
        <v>10000</v>
      </c>
      <c r="M45" s="140">
        <f>SUM(Water!H48)</f>
        <v>3000</v>
      </c>
      <c r="N45" s="79">
        <f t="shared" si="3"/>
        <v>15500</v>
      </c>
      <c r="O45" s="929">
        <v>1850</v>
      </c>
      <c r="P45" s="932"/>
    </row>
    <row r="46" spans="1:16" ht="15.75" customHeight="1">
      <c r="A46" s="218">
        <v>52105</v>
      </c>
      <c r="B46" s="67" t="s">
        <v>45</v>
      </c>
      <c r="C46" s="202">
        <f t="shared" si="4"/>
        <v>0</v>
      </c>
      <c r="D46" s="121"/>
      <c r="E46" s="121"/>
      <c r="F46" s="121"/>
      <c r="G46" s="121"/>
      <c r="H46" s="130"/>
      <c r="I46" s="130"/>
      <c r="J46" s="130"/>
      <c r="K46" s="130"/>
      <c r="L46" s="130"/>
      <c r="M46" s="130">
        <f>Water!H49</f>
        <v>8500</v>
      </c>
      <c r="N46" s="79">
        <f t="shared" si="3"/>
        <v>8500</v>
      </c>
      <c r="O46" s="929">
        <v>500</v>
      </c>
      <c r="P46" s="932"/>
    </row>
    <row r="47" spans="1:16" ht="15.75" customHeight="1">
      <c r="A47" s="218">
        <v>52015</v>
      </c>
      <c r="B47" s="67" t="s">
        <v>66</v>
      </c>
      <c r="C47" s="202">
        <f t="shared" si="4"/>
        <v>22200</v>
      </c>
      <c r="D47" s="121"/>
      <c r="E47" s="140">
        <f>SUM('GF-NonDep''t'!H36)</f>
        <v>22200</v>
      </c>
      <c r="F47" s="121"/>
      <c r="G47" s="121"/>
      <c r="H47" s="130"/>
      <c r="I47" s="130"/>
      <c r="J47" s="130"/>
      <c r="K47" s="130"/>
      <c r="L47" s="130"/>
      <c r="M47" s="130"/>
      <c r="N47" s="79">
        <f t="shared" si="3"/>
        <v>22200</v>
      </c>
      <c r="O47" s="929">
        <v>800</v>
      </c>
      <c r="P47" s="932"/>
    </row>
    <row r="48" spans="1:16" ht="15.75" customHeight="1">
      <c r="A48" s="218">
        <v>52114</v>
      </c>
      <c r="B48" s="67" t="s">
        <v>470</v>
      </c>
      <c r="C48" s="202">
        <f t="shared" si="4"/>
        <v>4600</v>
      </c>
      <c r="D48" s="121"/>
      <c r="E48" s="140">
        <f>'GF-NonDep''t'!H37</f>
        <v>4600</v>
      </c>
      <c r="F48" s="121"/>
      <c r="G48" s="121"/>
      <c r="H48" s="130"/>
      <c r="I48" s="130"/>
      <c r="J48" s="140">
        <f>'Storm Drain'!H30</f>
        <v>950</v>
      </c>
      <c r="K48" s="140">
        <f>Street!H36</f>
        <v>6000</v>
      </c>
      <c r="L48" s="140">
        <f>Wastewater!H48</f>
        <v>0</v>
      </c>
      <c r="M48" s="140">
        <f>Water!H50</f>
        <v>5000</v>
      </c>
      <c r="N48" s="79">
        <f t="shared" si="3"/>
        <v>16550</v>
      </c>
      <c r="O48" s="79">
        <v>16080</v>
      </c>
      <c r="P48" s="932"/>
    </row>
    <row r="49" spans="1:16" ht="15.75" hidden="1" customHeight="1">
      <c r="A49" s="218">
        <v>53001</v>
      </c>
      <c r="B49" s="67" t="s">
        <v>96</v>
      </c>
      <c r="C49" s="202">
        <f t="shared" si="4"/>
        <v>0</v>
      </c>
      <c r="D49" s="121"/>
      <c r="E49" s="121"/>
      <c r="F49" s="121"/>
      <c r="G49" s="121"/>
      <c r="H49" s="130"/>
      <c r="I49" s="130"/>
      <c r="J49" s="130"/>
      <c r="K49" s="140">
        <f>SUM(Street!H37)</f>
        <v>100</v>
      </c>
      <c r="L49" s="130"/>
      <c r="M49" s="130"/>
      <c r="N49" s="79">
        <f t="shared" si="3"/>
        <v>100</v>
      </c>
      <c r="O49" s="932">
        <v>0</v>
      </c>
      <c r="P49" s="932"/>
    </row>
    <row r="50" spans="1:16" ht="15.75" customHeight="1">
      <c r="A50" s="218">
        <v>52024</v>
      </c>
      <c r="B50" s="67" t="s">
        <v>98</v>
      </c>
      <c r="C50" s="202">
        <f t="shared" si="4"/>
        <v>0</v>
      </c>
      <c r="D50" s="121"/>
      <c r="E50" s="121"/>
      <c r="F50" s="121"/>
      <c r="G50" s="121"/>
      <c r="H50" s="130"/>
      <c r="I50" s="130"/>
      <c r="J50" s="130"/>
      <c r="K50" s="140">
        <f>SUM(Street!H39)</f>
        <v>11000</v>
      </c>
      <c r="L50" s="130"/>
      <c r="M50" s="130"/>
      <c r="N50" s="79">
        <f t="shared" si="3"/>
        <v>11000</v>
      </c>
      <c r="O50" s="930">
        <v>6000</v>
      </c>
      <c r="P50" s="932"/>
    </row>
    <row r="51" spans="1:16" ht="15.75" customHeight="1">
      <c r="A51" s="218">
        <v>52002</v>
      </c>
      <c r="B51" s="67" t="s">
        <v>39</v>
      </c>
      <c r="C51" s="202">
        <f t="shared" si="4"/>
        <v>1325</v>
      </c>
      <c r="D51" s="140">
        <f>'GF-Admin &amp; Plng'!H27</f>
        <v>250</v>
      </c>
      <c r="E51" s="140">
        <f>SUM('GF-NonDep''t'!H38)</f>
        <v>1000</v>
      </c>
      <c r="F51" s="140">
        <f>SUM('GF-Parks'!H30)</f>
        <v>75</v>
      </c>
      <c r="G51" s="130"/>
      <c r="H51" s="130"/>
      <c r="I51" s="130"/>
      <c r="J51" s="140">
        <f>SUM('Storm Drain'!H31)</f>
        <v>1929</v>
      </c>
      <c r="K51" s="130"/>
      <c r="L51" s="140">
        <f>SUM(Wastewater!H49)</f>
        <v>500</v>
      </c>
      <c r="M51" s="140">
        <f>SUM(Water!H51)</f>
        <v>500</v>
      </c>
      <c r="N51" s="79">
        <f t="shared" si="3"/>
        <v>4254</v>
      </c>
      <c r="O51" s="930">
        <v>5670</v>
      </c>
      <c r="P51" s="932"/>
    </row>
    <row r="52" spans="1:16" ht="15.75" customHeight="1">
      <c r="A52" s="218">
        <v>52011</v>
      </c>
      <c r="B52" s="67" t="s">
        <v>89</v>
      </c>
      <c r="C52" s="202">
        <f t="shared" si="4"/>
        <v>0</v>
      </c>
      <c r="D52" s="121"/>
      <c r="E52" s="121"/>
      <c r="F52" s="121"/>
      <c r="G52" s="121"/>
      <c r="H52" s="130"/>
      <c r="I52" s="130"/>
      <c r="J52" s="140">
        <f>SUM('Storm Drain'!H32)</f>
        <v>200</v>
      </c>
      <c r="K52" s="130"/>
      <c r="L52" s="140">
        <f>SUM(Wastewater!H50)</f>
        <v>2200</v>
      </c>
      <c r="M52" s="140">
        <f>SUM(Water!H52)</f>
        <v>1000</v>
      </c>
      <c r="N52" s="79">
        <f t="shared" si="3"/>
        <v>3400</v>
      </c>
      <c r="O52" s="930">
        <v>121400</v>
      </c>
      <c r="P52" s="932"/>
    </row>
    <row r="53" spans="1:16" ht="15.75" customHeight="1">
      <c r="A53" s="218">
        <v>52110</v>
      </c>
      <c r="B53" s="67" t="s">
        <v>41</v>
      </c>
      <c r="C53" s="202">
        <f t="shared" si="4"/>
        <v>1000</v>
      </c>
      <c r="D53" s="121"/>
      <c r="E53" s="140">
        <f>SUM('GF-NonDep''t'!H40)</f>
        <v>1000</v>
      </c>
      <c r="F53" s="121"/>
      <c r="G53" s="535"/>
      <c r="H53" s="130"/>
      <c r="I53" s="130"/>
      <c r="J53" s="130"/>
      <c r="K53" s="130"/>
      <c r="L53" s="140">
        <f>SUM(Wastewater!H51)</f>
        <v>550</v>
      </c>
      <c r="M53" s="140">
        <f>SUM(Water!H53)</f>
        <v>600</v>
      </c>
      <c r="N53" s="79">
        <f t="shared" si="3"/>
        <v>2150</v>
      </c>
      <c r="O53" s="930">
        <v>10500</v>
      </c>
      <c r="P53" s="932"/>
    </row>
    <row r="54" spans="1:16" ht="15.75" customHeight="1">
      <c r="A54" s="218">
        <v>52021</v>
      </c>
      <c r="B54" s="67" t="s">
        <v>209</v>
      </c>
      <c r="C54" s="202">
        <f t="shared" si="4"/>
        <v>4824</v>
      </c>
      <c r="D54" s="121"/>
      <c r="E54" s="140">
        <f>SUM('GF-NonDep''t'!H41)</f>
        <v>4824</v>
      </c>
      <c r="F54" s="121"/>
      <c r="G54" s="121"/>
      <c r="H54" s="130"/>
      <c r="I54" s="130"/>
      <c r="J54" s="130"/>
      <c r="K54" s="130"/>
      <c r="L54" s="130"/>
      <c r="M54" s="130"/>
      <c r="N54" s="79">
        <f t="shared" si="3"/>
        <v>4824</v>
      </c>
      <c r="O54" s="930">
        <v>20000</v>
      </c>
      <c r="P54" s="932"/>
    </row>
    <row r="55" spans="1:16" ht="15.75" customHeight="1">
      <c r="A55" s="218">
        <v>52013</v>
      </c>
      <c r="B55" s="67" t="s">
        <v>40</v>
      </c>
      <c r="C55" s="202">
        <f t="shared" si="4"/>
        <v>750</v>
      </c>
      <c r="D55" s="140">
        <f>SUM('GF-Admin &amp; Plng'!H28)</f>
        <v>0</v>
      </c>
      <c r="E55" s="535"/>
      <c r="F55" s="141">
        <f>SUM('GF-Parks'!H31)</f>
        <v>750</v>
      </c>
      <c r="G55" s="201"/>
      <c r="H55" s="130"/>
      <c r="I55" s="130"/>
      <c r="J55" s="130"/>
      <c r="K55" s="130"/>
      <c r="L55" s="140">
        <f>SUM(Wastewater!H52)</f>
        <v>8200</v>
      </c>
      <c r="M55" s="140">
        <f>SUM(Water!H54)</f>
        <v>33000</v>
      </c>
      <c r="N55" s="79">
        <f t="shared" si="3"/>
        <v>41950</v>
      </c>
      <c r="O55" s="930">
        <v>7000</v>
      </c>
      <c r="P55" s="932"/>
    </row>
    <row r="56" spans="1:16" ht="15.75" customHeight="1">
      <c r="A56" s="218">
        <v>52109</v>
      </c>
      <c r="B56" s="67" t="s">
        <v>151</v>
      </c>
      <c r="C56" s="202">
        <f t="shared" si="4"/>
        <v>11000</v>
      </c>
      <c r="D56" s="121"/>
      <c r="E56" s="140">
        <f>SUM('GF-NonDep''t'!H43)</f>
        <v>9000</v>
      </c>
      <c r="F56" s="140">
        <f>SUM('GF-Parks'!H32)</f>
        <v>2000</v>
      </c>
      <c r="G56" s="200"/>
      <c r="H56" s="130"/>
      <c r="I56" s="130"/>
      <c r="J56" s="130"/>
      <c r="K56" s="140">
        <f>SUM(Street!H40)</f>
        <v>804</v>
      </c>
      <c r="L56" s="140">
        <f>SUM(Wastewater!H53)</f>
        <v>2500</v>
      </c>
      <c r="M56" s="140">
        <f>SUM(Water!H55)</f>
        <v>3400</v>
      </c>
      <c r="N56" s="79">
        <f t="shared" si="3"/>
        <v>17704</v>
      </c>
      <c r="O56" s="930">
        <v>75150</v>
      </c>
      <c r="P56" s="932"/>
    </row>
    <row r="57" spans="1:16" ht="15.75" customHeight="1">
      <c r="A57" s="218">
        <v>52014</v>
      </c>
      <c r="B57" s="67" t="s">
        <v>142</v>
      </c>
      <c r="C57" s="202">
        <f t="shared" si="4"/>
        <v>6000</v>
      </c>
      <c r="D57" s="121"/>
      <c r="E57" s="140">
        <f>SUM('GF-NonDep''t'!H45)</f>
        <v>0</v>
      </c>
      <c r="F57" s="141">
        <f>SUM('GF-Parks'!H33)</f>
        <v>6000</v>
      </c>
      <c r="G57" s="201"/>
      <c r="H57" s="130"/>
      <c r="I57" s="130"/>
      <c r="J57" s="140">
        <f>SUM('Storm Drain'!H35)</f>
        <v>804</v>
      </c>
      <c r="K57" s="130"/>
      <c r="L57" s="140">
        <f>SUM(Wastewater!H54)</f>
        <v>2412</v>
      </c>
      <c r="M57" s="140">
        <f>SUM(Water!H56)</f>
        <v>7236</v>
      </c>
      <c r="N57" s="79">
        <f t="shared" si="3"/>
        <v>16452</v>
      </c>
      <c r="O57" s="930">
        <v>10450</v>
      </c>
      <c r="P57" s="932"/>
    </row>
    <row r="58" spans="1:16" ht="15.75" customHeight="1">
      <c r="A58" s="218"/>
      <c r="B58" s="85" t="s">
        <v>150</v>
      </c>
      <c r="C58" s="65">
        <f t="shared" ref="C58:H58" si="5">SUM(C16:C57)</f>
        <v>284749</v>
      </c>
      <c r="D58" s="86">
        <f t="shared" si="5"/>
        <v>75200</v>
      </c>
      <c r="E58" s="86">
        <f t="shared" si="5"/>
        <v>156674</v>
      </c>
      <c r="F58" s="86">
        <f t="shared" si="5"/>
        <v>16875</v>
      </c>
      <c r="G58" s="86">
        <f t="shared" si="5"/>
        <v>36000</v>
      </c>
      <c r="H58" s="86">
        <f t="shared" si="5"/>
        <v>0</v>
      </c>
      <c r="I58" s="91"/>
      <c r="J58" s="91">
        <f t="shared" ref="J58:O58" si="6">SUM(J16:J57)</f>
        <v>5553</v>
      </c>
      <c r="K58" s="86">
        <f t="shared" si="6"/>
        <v>31404</v>
      </c>
      <c r="L58" s="86">
        <f t="shared" si="6"/>
        <v>93312</v>
      </c>
      <c r="M58" s="86">
        <f t="shared" si="6"/>
        <v>220636</v>
      </c>
      <c r="N58" s="86">
        <f t="shared" si="6"/>
        <v>635654</v>
      </c>
      <c r="O58" s="86">
        <f t="shared" si="6"/>
        <v>700554</v>
      </c>
      <c r="P58" s="86">
        <f>'GF Combined Expenses'!F56+Street!F42+Water!F57+Wastewater!F55+'Storm Drain'!F36</f>
        <v>551904</v>
      </c>
    </row>
    <row r="59" spans="1:16" ht="15.75" customHeight="1">
      <c r="A59" s="222"/>
      <c r="C59" s="6"/>
      <c r="D59" s="99"/>
      <c r="E59" s="99"/>
      <c r="F59" s="99"/>
      <c r="G59" s="99"/>
      <c r="H59" s="99"/>
      <c r="I59" s="100"/>
      <c r="J59" s="100"/>
      <c r="K59" s="99"/>
      <c r="L59" s="99"/>
      <c r="M59" s="99"/>
      <c r="N59" s="82">
        <f>SUM(H58:M58)+C58</f>
        <v>635654</v>
      </c>
      <c r="O59" s="82"/>
      <c r="P59" s="82"/>
    </row>
    <row r="60" spans="1:16" ht="15.75" customHeight="1">
      <c r="A60" s="224" t="s">
        <v>100</v>
      </c>
      <c r="B60" s="74"/>
      <c r="C60" s="75"/>
      <c r="D60" s="101"/>
      <c r="E60" s="101"/>
      <c r="F60" s="101"/>
      <c r="G60" s="77"/>
      <c r="H60" s="77"/>
      <c r="I60" s="102"/>
      <c r="J60" s="102"/>
      <c r="K60" s="101"/>
      <c r="L60" s="101"/>
      <c r="M60" s="101"/>
      <c r="N60" s="77"/>
      <c r="O60" s="77"/>
      <c r="P60" s="77"/>
    </row>
    <row r="61" spans="1:16" ht="15.75" hidden="1" customHeight="1">
      <c r="A61" s="218">
        <v>53001</v>
      </c>
      <c r="B61" s="78" t="s">
        <v>189</v>
      </c>
      <c r="C61" s="149">
        <f t="shared" ref="C61:C66" si="7">SUM(D61:G61)</f>
        <v>0</v>
      </c>
      <c r="D61" s="121"/>
      <c r="E61" s="141">
        <v>0</v>
      </c>
      <c r="F61" s="125"/>
      <c r="G61" s="130"/>
      <c r="H61" s="125"/>
      <c r="I61" s="125"/>
      <c r="J61" s="537"/>
      <c r="K61" s="537"/>
      <c r="L61" s="537"/>
      <c r="M61" s="537"/>
      <c r="N61" s="79">
        <f t="shared" ref="N61:N69" si="8">SUM(D61:M61)</f>
        <v>0</v>
      </c>
      <c r="O61" s="79">
        <v>0</v>
      </c>
      <c r="P61" s="932">
        <v>0</v>
      </c>
    </row>
    <row r="62" spans="1:16" ht="15.75" customHeight="1">
      <c r="A62" s="218">
        <v>53002</v>
      </c>
      <c r="B62" s="80" t="s">
        <v>156</v>
      </c>
      <c r="C62" s="149">
        <f t="shared" si="7"/>
        <v>0</v>
      </c>
      <c r="D62" s="130"/>
      <c r="E62" s="130">
        <f>'GF-NonDep''t'!H49</f>
        <v>0</v>
      </c>
      <c r="F62" s="536"/>
      <c r="G62" s="535"/>
      <c r="H62" s="536"/>
      <c r="I62" s="536"/>
      <c r="J62" s="535"/>
      <c r="K62" s="535"/>
      <c r="L62" s="537"/>
      <c r="M62" s="684"/>
      <c r="N62" s="79">
        <f t="shared" si="8"/>
        <v>0</v>
      </c>
      <c r="O62" s="79">
        <f>7500*3</f>
        <v>22500</v>
      </c>
      <c r="P62" s="932"/>
    </row>
    <row r="63" spans="1:16" ht="15.75" hidden="1" customHeight="1">
      <c r="A63" s="218" t="s">
        <v>525</v>
      </c>
      <c r="B63" s="80" t="s">
        <v>74</v>
      </c>
      <c r="C63" s="202">
        <f t="shared" si="7"/>
        <v>0</v>
      </c>
      <c r="D63" s="130"/>
      <c r="E63" s="130"/>
      <c r="F63" s="535"/>
      <c r="G63" s="535"/>
      <c r="H63" s="536"/>
      <c r="I63" s="536"/>
      <c r="J63" s="536"/>
      <c r="K63" s="535"/>
      <c r="L63" s="535"/>
      <c r="M63" s="535"/>
      <c r="N63" s="79">
        <f t="shared" si="8"/>
        <v>0</v>
      </c>
      <c r="O63" s="79">
        <v>0</v>
      </c>
      <c r="P63" s="932"/>
    </row>
    <row r="64" spans="1:16" ht="15.75" hidden="1" customHeight="1">
      <c r="A64" s="218">
        <v>53002</v>
      </c>
      <c r="B64" s="80" t="s">
        <v>157</v>
      </c>
      <c r="C64" s="139">
        <f t="shared" si="7"/>
        <v>0</v>
      </c>
      <c r="D64" s="130"/>
      <c r="E64" s="130"/>
      <c r="F64" s="120"/>
      <c r="G64" s="130">
        <f>SUM('GF-Public Safety'!G44)</f>
        <v>0</v>
      </c>
      <c r="H64" s="120"/>
      <c r="I64" s="120"/>
      <c r="J64" s="120"/>
      <c r="K64" s="130"/>
      <c r="L64" s="130"/>
      <c r="M64" s="140">
        <f>Water!H65</f>
        <v>37500</v>
      </c>
      <c r="N64" s="79">
        <f t="shared" si="8"/>
        <v>37500</v>
      </c>
      <c r="O64" s="79">
        <v>0</v>
      </c>
      <c r="P64" s="932"/>
    </row>
    <row r="65" spans="1:16" ht="15.75" hidden="1" customHeight="1">
      <c r="A65" s="218">
        <v>53520</v>
      </c>
      <c r="B65" s="80" t="s">
        <v>90</v>
      </c>
      <c r="C65" s="139">
        <f t="shared" si="7"/>
        <v>0</v>
      </c>
      <c r="D65" s="130"/>
      <c r="E65" s="130"/>
      <c r="F65" s="120"/>
      <c r="G65" s="130"/>
      <c r="H65" s="120"/>
      <c r="I65" s="120"/>
      <c r="J65" s="120"/>
      <c r="K65" s="130"/>
      <c r="L65" s="130"/>
      <c r="M65" s="130"/>
      <c r="N65" s="79">
        <f t="shared" si="8"/>
        <v>0</v>
      </c>
      <c r="O65" s="79">
        <v>0</v>
      </c>
      <c r="P65" s="932"/>
    </row>
    <row r="66" spans="1:16" ht="15.75" customHeight="1">
      <c r="A66" s="218" t="s">
        <v>526</v>
      </c>
      <c r="B66" s="80" t="s">
        <v>186</v>
      </c>
      <c r="C66" s="139">
        <f t="shared" si="7"/>
        <v>0</v>
      </c>
      <c r="D66" s="130"/>
      <c r="E66" s="130"/>
      <c r="F66" s="120"/>
      <c r="G66" s="130"/>
      <c r="H66" s="120"/>
      <c r="I66" s="120"/>
      <c r="J66" s="120"/>
      <c r="K66" s="140">
        <f>SUM(Street!H45)</f>
        <v>98700</v>
      </c>
      <c r="L66" s="130"/>
      <c r="M66" s="130"/>
      <c r="N66" s="79">
        <f t="shared" si="8"/>
        <v>98700</v>
      </c>
      <c r="O66" s="79">
        <v>0</v>
      </c>
      <c r="P66" s="932"/>
    </row>
    <row r="67" spans="1:16" ht="15.75" customHeight="1">
      <c r="A67" s="218">
        <v>53510</v>
      </c>
      <c r="B67" s="80" t="s">
        <v>172</v>
      </c>
      <c r="C67" s="139">
        <f>SUM(D67:H67)</f>
        <v>0</v>
      </c>
      <c r="D67" s="130"/>
      <c r="E67" s="130"/>
      <c r="F67" s="120"/>
      <c r="G67" s="130"/>
      <c r="H67" s="130"/>
      <c r="I67" s="120"/>
      <c r="J67" s="120"/>
      <c r="K67" s="130"/>
      <c r="L67" s="140">
        <f>SUM(Wastewater!H68)</f>
        <v>2500000</v>
      </c>
      <c r="M67" s="130"/>
      <c r="N67" s="79">
        <f t="shared" si="8"/>
        <v>2500000</v>
      </c>
      <c r="O67" s="79">
        <v>0</v>
      </c>
      <c r="P67" s="932"/>
    </row>
    <row r="68" spans="1:16" ht="15.75" customHeight="1">
      <c r="A68" s="218">
        <v>53500</v>
      </c>
      <c r="B68" s="80" t="s">
        <v>174</v>
      </c>
      <c r="C68" s="139">
        <f>SUM(D68:H68)</f>
        <v>0</v>
      </c>
      <c r="D68" s="130"/>
      <c r="E68" s="130"/>
      <c r="F68" s="120"/>
      <c r="G68" s="130"/>
      <c r="H68" s="130"/>
      <c r="I68" s="120"/>
      <c r="J68" s="120"/>
      <c r="K68" s="130"/>
      <c r="L68" s="130"/>
      <c r="M68" s="140">
        <f>SUM(Water!H71)</f>
        <v>1129500</v>
      </c>
      <c r="N68" s="79">
        <f t="shared" si="8"/>
        <v>1129500</v>
      </c>
      <c r="O68" s="79">
        <v>250000</v>
      </c>
      <c r="P68" s="932"/>
    </row>
    <row r="69" spans="1:16" ht="15.75" hidden="1" customHeight="1">
      <c r="A69" s="218">
        <v>53005</v>
      </c>
      <c r="B69" s="80" t="s">
        <v>190</v>
      </c>
      <c r="C69" s="139">
        <f>SUM(D69:H69)</f>
        <v>0</v>
      </c>
      <c r="D69" s="130"/>
      <c r="E69" s="130"/>
      <c r="F69" s="120"/>
      <c r="G69" s="130"/>
      <c r="H69" s="130"/>
      <c r="I69" s="120"/>
      <c r="J69" s="120"/>
      <c r="K69" s="130"/>
      <c r="M69" s="130"/>
      <c r="N69" s="79">
        <f t="shared" si="8"/>
        <v>0</v>
      </c>
      <c r="O69" s="79">
        <v>0</v>
      </c>
      <c r="P69" s="932">
        <v>0</v>
      </c>
    </row>
    <row r="70" spans="1:16" ht="15.75" customHeight="1">
      <c r="A70" s="219"/>
      <c r="B70" s="80" t="s">
        <v>150</v>
      </c>
      <c r="C70" s="64">
        <f t="shared" ref="C70:M70" si="9">SUM(C61:C69)</f>
        <v>0</v>
      </c>
      <c r="D70" s="282">
        <f t="shared" si="9"/>
        <v>0</v>
      </c>
      <c r="E70" s="282">
        <f t="shared" si="9"/>
        <v>0</v>
      </c>
      <c r="F70" s="282">
        <f t="shared" si="9"/>
        <v>0</v>
      </c>
      <c r="G70" s="282">
        <f t="shared" si="9"/>
        <v>0</v>
      </c>
      <c r="H70" s="282">
        <f t="shared" si="9"/>
        <v>0</v>
      </c>
      <c r="I70" s="283">
        <f t="shared" si="9"/>
        <v>0</v>
      </c>
      <c r="J70" s="283">
        <f t="shared" si="9"/>
        <v>0</v>
      </c>
      <c r="K70" s="282">
        <f t="shared" si="9"/>
        <v>98700</v>
      </c>
      <c r="L70" s="282">
        <f t="shared" si="9"/>
        <v>2500000</v>
      </c>
      <c r="M70" s="282">
        <f t="shared" si="9"/>
        <v>1167000</v>
      </c>
      <c r="N70" s="64">
        <f>SUM(N61:N69)</f>
        <v>3765700</v>
      </c>
      <c r="O70" s="64">
        <f>SUM(O66:O69)</f>
        <v>250000</v>
      </c>
      <c r="P70" s="64">
        <f>'GF Combined Expenses'!F64+Street!F46+Water!F71+Wastewater!F69</f>
        <v>486185</v>
      </c>
    </row>
    <row r="71" spans="1:16" s="70" customFormat="1" ht="15.75" customHeight="1">
      <c r="A71" s="218"/>
      <c r="B71" s="61"/>
      <c r="C71" s="153"/>
      <c r="D71" s="137"/>
      <c r="E71" s="137"/>
      <c r="F71" s="137"/>
      <c r="G71" s="137"/>
      <c r="H71" s="137"/>
      <c r="I71" s="287"/>
      <c r="J71" s="287"/>
      <c r="K71" s="137"/>
      <c r="L71" s="137"/>
      <c r="M71" s="137"/>
      <c r="N71" s="82"/>
      <c r="O71" s="82"/>
      <c r="P71" s="82"/>
    </row>
    <row r="72" spans="1:16" s="70" customFormat="1" ht="15.75" hidden="1" customHeight="1">
      <c r="A72" s="288" t="s">
        <v>335</v>
      </c>
      <c r="B72" s="61"/>
      <c r="C72" s="153"/>
      <c r="D72" s="137"/>
      <c r="E72" s="137"/>
      <c r="F72" s="137"/>
      <c r="G72" s="137"/>
      <c r="H72" s="137"/>
      <c r="I72" s="287"/>
      <c r="J72" s="658"/>
      <c r="K72" s="658"/>
      <c r="L72" s="658"/>
      <c r="M72" s="658"/>
      <c r="O72" s="153"/>
      <c r="P72" s="153"/>
    </row>
    <row r="73" spans="1:16" s="70" customFormat="1" ht="15.75" hidden="1" customHeight="1">
      <c r="A73" s="288"/>
      <c r="B73" s="61" t="s">
        <v>371</v>
      </c>
      <c r="C73" s="655">
        <f>SUM(D73:G73)</f>
        <v>0</v>
      </c>
      <c r="D73" s="137"/>
      <c r="E73" s="535"/>
      <c r="F73" s="657"/>
      <c r="G73" s="657"/>
      <c r="H73" s="137"/>
      <c r="I73" s="287"/>
      <c r="J73" s="535"/>
      <c r="K73" s="535"/>
      <c r="L73" s="535"/>
      <c r="M73" s="535"/>
      <c r="N73" s="685"/>
      <c r="O73" s="686">
        <v>0</v>
      </c>
      <c r="P73" s="686">
        <v>0</v>
      </c>
    </row>
    <row r="74" spans="1:16" s="70" customFormat="1" ht="15.75" hidden="1" customHeight="1">
      <c r="A74" s="218"/>
      <c r="B74" s="61" t="s">
        <v>336</v>
      </c>
      <c r="C74" s="656"/>
      <c r="D74" s="137"/>
      <c r="E74" s="657"/>
      <c r="F74" s="657"/>
      <c r="G74" s="657"/>
      <c r="H74" s="137"/>
      <c r="I74" s="287"/>
      <c r="J74" s="658"/>
      <c r="K74" s="535"/>
      <c r="L74" s="535"/>
      <c r="M74" s="535"/>
      <c r="N74" s="658"/>
      <c r="O74" s="79">
        <v>0</v>
      </c>
      <c r="P74" s="932">
        <v>0</v>
      </c>
    </row>
    <row r="75" spans="1:16" s="70" customFormat="1" ht="15.75" hidden="1" customHeight="1">
      <c r="A75" s="218"/>
      <c r="B75" s="61" t="s">
        <v>156</v>
      </c>
      <c r="C75" s="656"/>
      <c r="D75" s="137"/>
      <c r="E75" s="657"/>
      <c r="F75" s="657"/>
      <c r="G75" s="657"/>
      <c r="H75" s="137"/>
      <c r="I75" s="287"/>
      <c r="J75" s="535"/>
      <c r="K75" s="535"/>
      <c r="L75" s="535"/>
      <c r="M75" s="535"/>
      <c r="N75" s="685"/>
      <c r="O75" s="79">
        <v>0</v>
      </c>
      <c r="P75" s="932">
        <v>0</v>
      </c>
    </row>
    <row r="76" spans="1:16" s="70" customFormat="1" ht="15.75" hidden="1" customHeight="1">
      <c r="A76" s="218"/>
      <c r="B76" s="61" t="s">
        <v>74</v>
      </c>
      <c r="C76" s="656"/>
      <c r="D76" s="137"/>
      <c r="E76" s="657"/>
      <c r="F76" s="657"/>
      <c r="G76" s="657"/>
      <c r="H76" s="137"/>
      <c r="I76" s="287"/>
      <c r="J76" s="659"/>
      <c r="K76" s="657"/>
      <c r="L76" s="657"/>
      <c r="M76" s="657"/>
      <c r="N76" s="685"/>
      <c r="O76" s="79">
        <v>0</v>
      </c>
      <c r="P76" s="932">
        <v>0</v>
      </c>
    </row>
    <row r="77" spans="1:16" s="70" customFormat="1" ht="15.75" hidden="1" customHeight="1">
      <c r="A77" s="218"/>
      <c r="B77" s="61" t="s">
        <v>77</v>
      </c>
      <c r="C77" s="655">
        <f>SUM(D77:G77)</f>
        <v>0</v>
      </c>
      <c r="D77" s="137"/>
      <c r="E77" s="657"/>
      <c r="F77" s="535"/>
      <c r="G77" s="657"/>
      <c r="H77" s="137"/>
      <c r="I77" s="287"/>
      <c r="J77" s="287"/>
      <c r="K77" s="137"/>
      <c r="L77" s="137"/>
      <c r="M77" s="137"/>
      <c r="N77" s="685"/>
      <c r="O77" s="79">
        <v>0</v>
      </c>
      <c r="P77" s="932">
        <v>0</v>
      </c>
    </row>
    <row r="78" spans="1:16" s="70" customFormat="1" ht="15.75" hidden="1" customHeight="1">
      <c r="A78" s="218"/>
      <c r="B78" s="61" t="s">
        <v>299</v>
      </c>
      <c r="C78" s="655" t="s">
        <v>5</v>
      </c>
      <c r="D78" s="137"/>
      <c r="E78" s="657"/>
      <c r="F78" s="535"/>
      <c r="G78" s="657"/>
      <c r="H78" s="137"/>
      <c r="I78" s="287"/>
      <c r="J78" s="287"/>
      <c r="K78" s="137"/>
      <c r="L78" s="538"/>
      <c r="M78" s="538"/>
      <c r="N78" s="685"/>
      <c r="O78" s="79">
        <v>0</v>
      </c>
      <c r="P78" s="932">
        <v>0</v>
      </c>
    </row>
    <row r="79" spans="1:16" s="70" customFormat="1" ht="15.75" hidden="1" customHeight="1">
      <c r="A79" s="218"/>
      <c r="B79" s="61" t="s">
        <v>157</v>
      </c>
      <c r="C79" s="655">
        <f>SUM(D79:G79)</f>
        <v>0</v>
      </c>
      <c r="D79" s="137"/>
      <c r="E79" s="657"/>
      <c r="F79" s="657"/>
      <c r="G79" s="535"/>
      <c r="I79" s="287"/>
      <c r="J79" s="287"/>
      <c r="K79" s="137"/>
      <c r="L79" s="137"/>
      <c r="M79" s="137"/>
      <c r="N79" s="685"/>
      <c r="O79" s="79">
        <v>0</v>
      </c>
      <c r="P79" s="932">
        <v>0</v>
      </c>
    </row>
    <row r="80" spans="1:16" s="73" customFormat="1" ht="15.75" hidden="1" customHeight="1">
      <c r="A80" s="221"/>
      <c r="B80" s="284" t="s">
        <v>342</v>
      </c>
      <c r="C80" s="149" t="s">
        <v>343</v>
      </c>
      <c r="D80" s="286"/>
      <c r="E80" s="286"/>
      <c r="F80" s="286"/>
      <c r="G80" s="537"/>
      <c r="H80" s="289"/>
      <c r="I80" s="290"/>
      <c r="J80" s="290"/>
      <c r="K80" s="130"/>
      <c r="L80" s="130"/>
      <c r="M80" s="130"/>
      <c r="N80" s="152"/>
      <c r="O80" s="79">
        <v>0</v>
      </c>
      <c r="P80" s="932">
        <v>0</v>
      </c>
    </row>
    <row r="81" spans="1:16" ht="15.75" hidden="1" customHeight="1">
      <c r="A81" s="221"/>
      <c r="B81" s="284" t="s">
        <v>150</v>
      </c>
      <c r="C81" s="285">
        <f>SUM(C73:C79)</f>
        <v>0</v>
      </c>
      <c r="D81" s="285">
        <f>SUM(D73:D80)</f>
        <v>0</v>
      </c>
      <c r="E81" s="285">
        <f t="shared" ref="E81:I81" si="10">SUM(E73:E80)</f>
        <v>0</v>
      </c>
      <c r="F81" s="285">
        <f t="shared" si="10"/>
        <v>0</v>
      </c>
      <c r="G81" s="285">
        <f t="shared" si="10"/>
        <v>0</v>
      </c>
      <c r="H81" s="285">
        <f t="shared" si="10"/>
        <v>0</v>
      </c>
      <c r="I81" s="285">
        <f t="shared" si="10"/>
        <v>0</v>
      </c>
      <c r="J81" s="285">
        <f t="shared" ref="J81:O81" si="11">SUM(J73:J80)</f>
        <v>0</v>
      </c>
      <c r="K81" s="285">
        <f t="shared" si="11"/>
        <v>0</v>
      </c>
      <c r="L81" s="285">
        <f t="shared" si="11"/>
        <v>0</v>
      </c>
      <c r="M81" s="285">
        <f t="shared" si="11"/>
        <v>0</v>
      </c>
      <c r="N81" s="285">
        <f t="shared" si="11"/>
        <v>0</v>
      </c>
      <c r="O81" s="285">
        <f t="shared" si="11"/>
        <v>0</v>
      </c>
      <c r="P81" s="285">
        <f t="shared" ref="P81" si="12">SUM(P73:P80)</f>
        <v>0</v>
      </c>
    </row>
    <row r="82" spans="1:16" ht="15.75" hidden="1" customHeight="1">
      <c r="A82" s="222"/>
      <c r="C82" s="87"/>
      <c r="D82" s="99"/>
      <c r="E82" s="99"/>
      <c r="F82" s="99"/>
      <c r="G82" s="99"/>
      <c r="H82" s="99"/>
      <c r="I82" s="100"/>
      <c r="J82" s="100"/>
      <c r="K82" s="99"/>
      <c r="L82" s="99"/>
      <c r="M82" s="99"/>
      <c r="N82" s="82"/>
      <c r="O82" s="82"/>
      <c r="P82" s="82"/>
    </row>
    <row r="83" spans="1:16" ht="15.75" customHeight="1">
      <c r="A83" s="224" t="s">
        <v>191</v>
      </c>
      <c r="B83" s="74"/>
      <c r="C83" s="75"/>
      <c r="D83" s="101"/>
      <c r="E83" s="101"/>
      <c r="F83" s="101"/>
      <c r="G83" s="77"/>
      <c r="H83" s="77"/>
      <c r="I83" s="102"/>
      <c r="J83" s="102"/>
      <c r="K83" s="101"/>
      <c r="L83" s="101"/>
      <c r="M83" s="101"/>
      <c r="N83" s="77"/>
      <c r="O83" s="77"/>
      <c r="P83" s="77"/>
    </row>
    <row r="84" spans="1:16" ht="15.75" customHeight="1">
      <c r="A84" s="978" t="s">
        <v>527</v>
      </c>
      <c r="B84" s="81" t="s">
        <v>438</v>
      </c>
      <c r="C84" s="86">
        <f>SUM(D84:G84)</f>
        <v>22254</v>
      </c>
      <c r="D84" s="98"/>
      <c r="E84" s="86">
        <f>'GF-NonDep''t'!H63</f>
        <v>22254</v>
      </c>
      <c r="F84" s="97"/>
      <c r="G84" s="98"/>
      <c r="H84" s="98"/>
      <c r="I84" s="97"/>
      <c r="J84" s="97"/>
      <c r="K84" s="98"/>
      <c r="L84" s="535"/>
      <c r="M84" s="130"/>
      <c r="N84" s="79">
        <f>SUM(D84:M84)</f>
        <v>22254</v>
      </c>
      <c r="O84" s="931">
        <v>22254</v>
      </c>
      <c r="P84" s="932"/>
    </row>
    <row r="85" spans="1:16" ht="15.75" hidden="1" customHeight="1">
      <c r="A85" s="983" t="s">
        <v>528</v>
      </c>
      <c r="B85" s="984" t="s">
        <v>233</v>
      </c>
      <c r="C85" s="62"/>
      <c r="D85" s="98"/>
      <c r="E85" s="98"/>
      <c r="F85" s="97"/>
      <c r="G85" s="98"/>
      <c r="H85" s="97"/>
      <c r="I85" s="97"/>
      <c r="J85" s="97"/>
      <c r="K85" s="98"/>
      <c r="L85" s="130"/>
      <c r="M85" s="140">
        <f>SUM(Water!H74)</f>
        <v>0</v>
      </c>
      <c r="N85" s="79">
        <f>SUM(D85:M85)</f>
        <v>0</v>
      </c>
      <c r="O85" s="931">
        <v>0</v>
      </c>
      <c r="P85" s="932"/>
    </row>
    <row r="86" spans="1:16" ht="15.75" customHeight="1">
      <c r="A86" s="218" t="s">
        <v>529</v>
      </c>
      <c r="B86" s="42" t="s">
        <v>297</v>
      </c>
      <c r="C86" s="62"/>
      <c r="D86" s="98"/>
      <c r="E86" s="98"/>
      <c r="F86" s="97"/>
      <c r="G86" s="98"/>
      <c r="H86" s="97"/>
      <c r="I86" s="97"/>
      <c r="J86" s="97"/>
      <c r="K86" s="98"/>
      <c r="L86" s="140">
        <f>SUM(Wastewater!H73)</f>
        <v>30000</v>
      </c>
      <c r="M86" s="130"/>
      <c r="N86" s="79">
        <f>SUM(D86:M86)</f>
        <v>30000</v>
      </c>
      <c r="O86" s="931">
        <v>30000</v>
      </c>
      <c r="P86" s="932"/>
    </row>
    <row r="87" spans="1:16" ht="15.75" customHeight="1">
      <c r="A87" s="218" t="s">
        <v>528</v>
      </c>
      <c r="B87" s="80" t="s">
        <v>396</v>
      </c>
      <c r="C87" s="62"/>
      <c r="D87" s="98"/>
      <c r="E87" s="98"/>
      <c r="F87" s="97"/>
      <c r="G87" s="98"/>
      <c r="H87" s="97"/>
      <c r="I87" s="97"/>
      <c r="J87" s="97"/>
      <c r="K87" s="98"/>
      <c r="L87" s="130"/>
      <c r="M87" s="140">
        <f>SUM(Water!H76)+15000</f>
        <v>155000</v>
      </c>
      <c r="N87" s="79">
        <f>SUM(D87:M87)</f>
        <v>155000</v>
      </c>
      <c r="O87" s="931">
        <v>125000</v>
      </c>
      <c r="P87" s="932"/>
    </row>
    <row r="88" spans="1:16" ht="15.75" customHeight="1">
      <c r="A88" s="218"/>
      <c r="B88" s="61" t="s">
        <v>150</v>
      </c>
      <c r="C88" s="86">
        <f>SUM(C84:C87)</f>
        <v>22254</v>
      </c>
      <c r="D88" s="86">
        <f t="shared" ref="D88:N88" si="13">SUM(D84:D87)</f>
        <v>0</v>
      </c>
      <c r="E88" s="86">
        <f t="shared" si="13"/>
        <v>22254</v>
      </c>
      <c r="F88" s="86">
        <f t="shared" si="13"/>
        <v>0</v>
      </c>
      <c r="G88" s="86">
        <f t="shared" si="13"/>
        <v>0</v>
      </c>
      <c r="H88" s="86">
        <f t="shared" si="13"/>
        <v>0</v>
      </c>
      <c r="I88" s="86">
        <f t="shared" si="13"/>
        <v>0</v>
      </c>
      <c r="J88" s="86">
        <f t="shared" si="13"/>
        <v>0</v>
      </c>
      <c r="K88" s="86">
        <f t="shared" si="13"/>
        <v>0</v>
      </c>
      <c r="L88" s="86">
        <f t="shared" si="13"/>
        <v>30000</v>
      </c>
      <c r="M88" s="86">
        <f t="shared" si="13"/>
        <v>155000</v>
      </c>
      <c r="N88" s="86">
        <f t="shared" si="13"/>
        <v>207254</v>
      </c>
      <c r="O88" s="86">
        <f>SUM(O84:O87)</f>
        <v>177254</v>
      </c>
      <c r="P88" s="86">
        <f>'GF Combined Expenses'!F68+Water!F78+Wastewater!F74</f>
        <v>161727</v>
      </c>
    </row>
    <row r="89" spans="1:16" ht="15.75" customHeight="1">
      <c r="A89" s="222"/>
      <c r="D89" s="99"/>
      <c r="E89" s="99"/>
      <c r="F89" s="99"/>
      <c r="G89" s="99"/>
      <c r="H89" s="99"/>
      <c r="I89" s="100"/>
      <c r="J89" s="100"/>
      <c r="K89" s="99"/>
      <c r="L89" s="99"/>
      <c r="M89" s="99"/>
      <c r="N89" s="88">
        <f>SUM(D88:M88)</f>
        <v>207254</v>
      </c>
    </row>
    <row r="90" spans="1:16" ht="15.75" customHeight="1">
      <c r="A90" s="224" t="s">
        <v>108</v>
      </c>
      <c r="B90" s="74"/>
      <c r="C90" s="75"/>
      <c r="D90" s="101"/>
      <c r="E90" s="101"/>
      <c r="F90" s="101"/>
      <c r="G90" s="77"/>
      <c r="H90" s="77"/>
      <c r="I90" s="102"/>
      <c r="J90" s="102"/>
      <c r="K90" s="101"/>
      <c r="L90" s="101"/>
      <c r="M90" s="101"/>
      <c r="N90" s="77"/>
      <c r="O90" s="77"/>
      <c r="P90" s="77"/>
    </row>
    <row r="91" spans="1:16" ht="15.75" customHeight="1">
      <c r="A91" s="218" t="s">
        <v>530</v>
      </c>
      <c r="B91" s="80" t="s">
        <v>164</v>
      </c>
      <c r="C91" s="62"/>
      <c r="D91" s="117"/>
      <c r="E91" s="117"/>
      <c r="F91" s="118"/>
      <c r="G91" s="119"/>
      <c r="H91" s="119">
        <f>Reserve!H36</f>
        <v>10000</v>
      </c>
      <c r="I91" s="120"/>
      <c r="J91" s="120"/>
      <c r="K91" s="117"/>
      <c r="L91" s="117"/>
      <c r="M91" s="117"/>
      <c r="N91" s="79">
        <f t="shared" ref="N91:N96" si="14">SUM(D91:M91)</f>
        <v>10000</v>
      </c>
      <c r="O91" s="79">
        <v>14996</v>
      </c>
      <c r="P91" s="932"/>
    </row>
    <row r="92" spans="1:16" ht="15.75" customHeight="1">
      <c r="A92" s="218" t="s">
        <v>531</v>
      </c>
      <c r="B92" s="80" t="s">
        <v>370</v>
      </c>
      <c r="C92" s="202">
        <f>SUM(D92:G92)</f>
        <v>52884</v>
      </c>
      <c r="D92" s="117"/>
      <c r="E92" s="140">
        <f>'GF-NonDep''t'!H60</f>
        <v>47884</v>
      </c>
      <c r="F92" s="140">
        <f>'GF-Parks'!H46</f>
        <v>5000</v>
      </c>
      <c r="G92" s="140">
        <f>'GF-Public Safety'!H45</f>
        <v>0</v>
      </c>
      <c r="H92" s="119"/>
      <c r="I92" s="120"/>
      <c r="J92" s="120"/>
      <c r="K92" s="117"/>
      <c r="L92" s="117"/>
      <c r="M92" s="117"/>
      <c r="N92" s="79">
        <f t="shared" si="14"/>
        <v>52884</v>
      </c>
      <c r="O92" s="932">
        <v>52884</v>
      </c>
      <c r="P92" s="932"/>
    </row>
    <row r="93" spans="1:16" ht="15.75" customHeight="1">
      <c r="A93" s="218" t="s">
        <v>532</v>
      </c>
      <c r="B93" s="80" t="s">
        <v>193</v>
      </c>
      <c r="C93" s="62"/>
      <c r="D93" s="117"/>
      <c r="E93" s="117"/>
      <c r="F93" s="118"/>
      <c r="G93" s="119"/>
      <c r="H93" s="119"/>
      <c r="I93" s="120"/>
      <c r="J93" s="120"/>
      <c r="K93" s="140">
        <f>Street!H56</f>
        <v>200</v>
      </c>
      <c r="L93" s="117"/>
      <c r="M93" s="117"/>
      <c r="N93" s="79">
        <f t="shared" si="14"/>
        <v>200</v>
      </c>
      <c r="O93" s="932">
        <v>200</v>
      </c>
      <c r="P93" s="932"/>
    </row>
    <row r="94" spans="1:16" ht="15.75" customHeight="1">
      <c r="A94" s="218" t="s">
        <v>534</v>
      </c>
      <c r="B94" s="80" t="s">
        <v>194</v>
      </c>
      <c r="C94" s="62"/>
      <c r="D94" s="117"/>
      <c r="E94" s="117"/>
      <c r="F94" s="118"/>
      <c r="G94" s="119"/>
      <c r="H94" s="119"/>
      <c r="I94" s="120"/>
      <c r="J94" s="120"/>
      <c r="K94" s="117"/>
      <c r="L94" s="140">
        <f>Wastewater!H82</f>
        <v>1000</v>
      </c>
      <c r="M94" s="117"/>
      <c r="N94" s="79">
        <f t="shared" si="14"/>
        <v>1000</v>
      </c>
      <c r="O94" s="932">
        <v>400</v>
      </c>
      <c r="P94" s="932"/>
    </row>
    <row r="95" spans="1:16" ht="15.75" customHeight="1">
      <c r="A95" s="218" t="s">
        <v>533</v>
      </c>
      <c r="B95" s="80" t="s">
        <v>195</v>
      </c>
      <c r="C95" s="62"/>
      <c r="D95" s="117"/>
      <c r="E95" s="117"/>
      <c r="F95" s="118"/>
      <c r="G95" s="119"/>
      <c r="H95" s="118"/>
      <c r="I95" s="120"/>
      <c r="J95" s="120"/>
      <c r="K95" s="117"/>
      <c r="L95" s="117"/>
      <c r="M95" s="140">
        <f>Water!H85</f>
        <v>3200</v>
      </c>
      <c r="N95" s="79">
        <f t="shared" si="14"/>
        <v>3200</v>
      </c>
      <c r="O95" s="932">
        <v>3200</v>
      </c>
      <c r="P95" s="932"/>
    </row>
    <row r="96" spans="1:16" ht="15.75" customHeight="1">
      <c r="A96" s="218" t="s">
        <v>534</v>
      </c>
      <c r="B96" s="80" t="s">
        <v>437</v>
      </c>
      <c r="C96" s="62"/>
      <c r="D96" s="117"/>
      <c r="E96" s="117"/>
      <c r="F96" s="118"/>
      <c r="G96" s="119"/>
      <c r="H96" s="118"/>
      <c r="I96" s="120"/>
      <c r="J96" s="140">
        <f>'Storm Drain'!H50</f>
        <v>200</v>
      </c>
      <c r="K96" s="117"/>
      <c r="L96" s="117"/>
      <c r="M96" s="117"/>
      <c r="N96" s="79">
        <f t="shared" si="14"/>
        <v>200</v>
      </c>
      <c r="O96" s="932">
        <v>0</v>
      </c>
      <c r="P96" s="932"/>
    </row>
    <row r="97" spans="1:17" ht="15.75" customHeight="1">
      <c r="A97" s="218"/>
      <c r="B97" s="61" t="s">
        <v>150</v>
      </c>
      <c r="C97" s="86">
        <f t="shared" ref="C97:J97" si="15">SUM(C91:C96)</f>
        <v>52884</v>
      </c>
      <c r="D97" s="86">
        <f t="shared" si="15"/>
        <v>0</v>
      </c>
      <c r="E97" s="86">
        <f t="shared" si="15"/>
        <v>47884</v>
      </c>
      <c r="F97" s="86">
        <f t="shared" si="15"/>
        <v>5000</v>
      </c>
      <c r="G97" s="86">
        <f t="shared" si="15"/>
        <v>0</v>
      </c>
      <c r="H97" s="86">
        <f t="shared" si="15"/>
        <v>10000</v>
      </c>
      <c r="I97" s="86">
        <f t="shared" si="15"/>
        <v>0</v>
      </c>
      <c r="J97" s="86">
        <f t="shared" si="15"/>
        <v>200</v>
      </c>
      <c r="K97" s="86">
        <f>SUM(K91:K96)</f>
        <v>200</v>
      </c>
      <c r="L97" s="86">
        <f t="shared" ref="L97:N97" si="16">SUM(L91:L96)</f>
        <v>1000</v>
      </c>
      <c r="M97" s="86">
        <f t="shared" si="16"/>
        <v>3200</v>
      </c>
      <c r="N97" s="86">
        <f t="shared" si="16"/>
        <v>67484</v>
      </c>
      <c r="O97" s="86">
        <v>71680</v>
      </c>
      <c r="P97" s="86">
        <f>'GF Combined Expenses'!F82+Street!F56+Water!F85+Wastewater!F82+'Storm Drain'!F51+Reserve!F38+SDC!F45</f>
        <v>23796</v>
      </c>
      <c r="Q97" s="87"/>
    </row>
    <row r="98" spans="1:17" ht="15.75" customHeight="1">
      <c r="A98" s="222"/>
      <c r="D98" s="99"/>
      <c r="E98" s="99"/>
      <c r="F98" s="99"/>
      <c r="G98" s="99"/>
      <c r="H98" s="99"/>
      <c r="I98" s="100"/>
      <c r="J98" s="100"/>
      <c r="K98" s="99"/>
      <c r="L98" s="99"/>
      <c r="M98" s="99"/>
    </row>
    <row r="99" spans="1:17" ht="15.75" customHeight="1">
      <c r="A99" s="224" t="s">
        <v>197</v>
      </c>
      <c r="B99" s="74"/>
      <c r="C99" s="75"/>
      <c r="D99" s="101"/>
      <c r="E99" s="101"/>
      <c r="F99" s="101"/>
      <c r="G99" s="77"/>
      <c r="H99" s="77"/>
      <c r="I99" s="102"/>
      <c r="J99" s="102"/>
      <c r="K99" s="101"/>
      <c r="L99" s="101"/>
      <c r="M99" s="101"/>
      <c r="N99" s="77"/>
      <c r="O99" s="77"/>
      <c r="P99" s="77"/>
    </row>
    <row r="100" spans="1:17" ht="15.75" customHeight="1">
      <c r="A100" s="218">
        <v>58000</v>
      </c>
      <c r="B100" s="80" t="s">
        <v>91</v>
      </c>
      <c r="C100" s="86">
        <f>'Combined GF Revenues'!H72</f>
        <v>100000</v>
      </c>
      <c r="D100" s="117"/>
      <c r="E100" s="117"/>
      <c r="F100" s="118"/>
      <c r="G100" s="119"/>
      <c r="H100" s="536"/>
      <c r="I100" s="536"/>
      <c r="J100" s="136">
        <f>SUM('Storm Drain'!H62)</f>
        <v>0</v>
      </c>
      <c r="K100" s="136">
        <f>SUM(Street!H65)</f>
        <v>50000</v>
      </c>
      <c r="L100" s="136">
        <f>Wastewater!H94</f>
        <v>150000</v>
      </c>
      <c r="M100" s="136">
        <f>Water!H98</f>
        <v>100000</v>
      </c>
      <c r="N100" s="79">
        <f>SUM(C100:M100)</f>
        <v>400000</v>
      </c>
      <c r="O100" s="79">
        <v>220600</v>
      </c>
      <c r="P100" s="932">
        <v>0</v>
      </c>
    </row>
    <row r="101" spans="1:17" ht="15.75" customHeight="1">
      <c r="A101" s="218"/>
      <c r="B101" s="80"/>
      <c r="C101" s="62"/>
      <c r="D101" s="117"/>
      <c r="E101" s="117"/>
      <c r="F101" s="118"/>
      <c r="G101" s="119"/>
      <c r="H101" s="119"/>
      <c r="I101" s="120"/>
      <c r="J101" s="120"/>
      <c r="K101" s="117"/>
      <c r="L101" s="117"/>
      <c r="M101" s="117"/>
      <c r="N101" s="152"/>
      <c r="O101" s="152"/>
      <c r="P101" s="152"/>
    </row>
    <row r="102" spans="1:17" ht="15.75" customHeight="1">
      <c r="A102" s="218">
        <v>59000</v>
      </c>
      <c r="B102" s="80" t="s">
        <v>401</v>
      </c>
      <c r="C102" s="86">
        <f>'Combined GF Revenues'!H75</f>
        <v>315995.63309052284</v>
      </c>
      <c r="D102" s="117"/>
      <c r="E102" s="117"/>
      <c r="F102" s="118"/>
      <c r="G102" s="119"/>
      <c r="H102" s="135">
        <f>SUM(Reserve!H46)</f>
        <v>106300</v>
      </c>
      <c r="I102" s="136">
        <f>SDC!H51</f>
        <v>2108796.9479665095</v>
      </c>
      <c r="J102" s="136">
        <f>'Storm Drain'!H65</f>
        <v>24192.757377524991</v>
      </c>
      <c r="K102" s="133">
        <f>Street!H68</f>
        <v>55106.735006473726</v>
      </c>
      <c r="L102" s="133">
        <f>Wastewater!H97</f>
        <v>36535.184914753307</v>
      </c>
      <c r="M102" s="133">
        <f>Water!H101-15000</f>
        <v>244776.83704318013</v>
      </c>
      <c r="N102" s="79">
        <f>SUM(C102:M102)</f>
        <v>2891704.0953989648</v>
      </c>
      <c r="O102" s="79">
        <v>1022467.5959320469</v>
      </c>
      <c r="P102" s="932">
        <f>'GF Combined Expenses'!F88+SDC!F51+Street!F68+Water!F101+Wastewater!F97+'Storm Drain'!F65+Reserve!F46</f>
        <v>3641480.1479665097</v>
      </c>
    </row>
    <row r="103" spans="1:17" ht="15.75" customHeight="1">
      <c r="A103" s="218"/>
      <c r="B103" s="61" t="s">
        <v>150</v>
      </c>
      <c r="C103" s="89">
        <f t="shared" ref="C103:O103" si="17">SUM(C100:C102)</f>
        <v>415995.63309052284</v>
      </c>
      <c r="D103" s="89">
        <f t="shared" si="17"/>
        <v>0</v>
      </c>
      <c r="E103" s="89">
        <f t="shared" si="17"/>
        <v>0</v>
      </c>
      <c r="F103" s="89">
        <f t="shared" si="17"/>
        <v>0</v>
      </c>
      <c r="G103" s="89">
        <f t="shared" si="17"/>
        <v>0</v>
      </c>
      <c r="H103" s="89">
        <f t="shared" si="17"/>
        <v>106300</v>
      </c>
      <c r="I103" s="89">
        <f t="shared" si="17"/>
        <v>2108796.9479665095</v>
      </c>
      <c r="J103" s="89">
        <f t="shared" si="17"/>
        <v>24192.757377524991</v>
      </c>
      <c r="K103" s="89">
        <f t="shared" si="17"/>
        <v>105106.73500647373</v>
      </c>
      <c r="L103" s="89">
        <f t="shared" si="17"/>
        <v>186535.18491475331</v>
      </c>
      <c r="M103" s="89">
        <f t="shared" si="17"/>
        <v>344776.83704318013</v>
      </c>
      <c r="N103" s="89">
        <f t="shared" si="17"/>
        <v>3291704.0953989648</v>
      </c>
      <c r="O103" s="89">
        <f t="shared" si="17"/>
        <v>1243067.5959320469</v>
      </c>
      <c r="P103" s="89">
        <f t="shared" ref="P103" si="18">SUM(P100:P102)</f>
        <v>3641480.1479665097</v>
      </c>
    </row>
    <row r="104" spans="1:17" ht="15.75" customHeight="1">
      <c r="A104" s="222"/>
      <c r="D104" s="99"/>
      <c r="E104" s="99"/>
      <c r="F104" s="99"/>
      <c r="G104" s="99"/>
      <c r="H104" s="99"/>
      <c r="I104" s="100"/>
      <c r="J104" s="100"/>
      <c r="K104" s="99"/>
      <c r="L104" s="99"/>
      <c r="M104" s="99"/>
    </row>
    <row r="105" spans="1:17" ht="15.75" customHeight="1">
      <c r="A105" s="217" t="s">
        <v>196</v>
      </c>
      <c r="B105" s="105"/>
      <c r="C105" s="104">
        <f>SUM(C13+C58+C70+C81+C88+C97+C103)</f>
        <v>959120</v>
      </c>
      <c r="D105" s="103">
        <f>SUM(D13+D58+D70+D81+D88+D97+D103)</f>
        <v>202636.44156196582</v>
      </c>
      <c r="E105" s="103">
        <f>SUM(E13+E58+E70+E81+E88+E97+E103)</f>
        <v>226812</v>
      </c>
      <c r="F105" s="103">
        <f>SUM(F13+F58+F70+F81+F88+F97+F103)</f>
        <v>68272.513347511325</v>
      </c>
      <c r="G105" s="103">
        <f>SUM(G13+G58+G70+G81+G88+G97+G103)</f>
        <v>45403.411999999997</v>
      </c>
      <c r="H105" s="104">
        <f t="shared" ref="H105:M105" si="19">SUM(H13+H58+H70+H81+H88+H97+H102+H100)</f>
        <v>116300</v>
      </c>
      <c r="I105" s="104">
        <f t="shared" si="19"/>
        <v>2108796.9479665095</v>
      </c>
      <c r="J105" s="104">
        <f t="shared" si="19"/>
        <v>54510.605144221481</v>
      </c>
      <c r="K105" s="104">
        <f t="shared" si="19"/>
        <v>265700</v>
      </c>
      <c r="L105" s="104">
        <f t="shared" si="19"/>
        <v>2934800</v>
      </c>
      <c r="M105" s="104">
        <f t="shared" si="19"/>
        <v>2195577</v>
      </c>
      <c r="N105" s="104">
        <f>SUM(N13+N58+N70+N88+N81+N102+N100+N97)</f>
        <v>8634804.5531107318</v>
      </c>
      <c r="O105" s="104">
        <f>SUM(O13+O58+O70+O88+O81+O102+O100+O97)</f>
        <v>3032325.8</v>
      </c>
      <c r="P105" s="104">
        <f>SUM(P13+P58+P70+P88+P81+P102+P100+P97)</f>
        <v>5414949.1479665097</v>
      </c>
    </row>
    <row r="106" spans="1:17">
      <c r="B106" s="42"/>
      <c r="C106" s="87"/>
      <c r="D106" s="99"/>
      <c r="E106" s="99"/>
      <c r="F106" s="99"/>
      <c r="G106" s="99"/>
      <c r="H106" s="99"/>
      <c r="I106" s="100"/>
      <c r="J106" s="100"/>
      <c r="K106" s="99"/>
      <c r="L106" s="99"/>
      <c r="M106" s="99"/>
    </row>
    <row r="107" spans="1:17">
      <c r="C107" s="87"/>
      <c r="N107" s="138"/>
      <c r="O107" s="138"/>
      <c r="P107" s="138"/>
    </row>
    <row r="110" spans="1:17">
      <c r="C110" s="87">
        <f>C105-'Combined GF Revenues'!H76</f>
        <v>-857000</v>
      </c>
      <c r="D110" s="87">
        <f>D105-'GF-Admin &amp; Plng'!H31</f>
        <v>-105000.00000000003</v>
      </c>
      <c r="E110" s="87">
        <f>E105-'GF-NonDep''t'!H60-'GF-NonDep''t'!H64-'GF-NonDep''t'!H46-'GF-NonDep''t'!H53</f>
        <v>-752000</v>
      </c>
      <c r="F110" s="87">
        <f>F105-'GF-Parks'!H56</f>
        <v>0</v>
      </c>
      <c r="G110" s="87">
        <f>G105-'GF-Public Safety'!H56</f>
        <v>0</v>
      </c>
      <c r="H110" s="87">
        <f>H105-Reserve!H38-Reserve!H46</f>
        <v>0</v>
      </c>
      <c r="I110" s="927">
        <f>I105-SDC!H33</f>
        <v>0</v>
      </c>
      <c r="J110" s="927">
        <f>J105-'Storm Drain'!H66</f>
        <v>2310.6051442214812</v>
      </c>
      <c r="K110" s="87">
        <f>K105-Street!H69</f>
        <v>-5200</v>
      </c>
      <c r="L110" s="87">
        <f>L105-Wastewater!H98</f>
        <v>-6200</v>
      </c>
      <c r="M110" s="87">
        <f>M105-Water!H102</f>
        <v>37500</v>
      </c>
    </row>
    <row r="111" spans="1:17">
      <c r="E111" s="87"/>
      <c r="K111" s="87"/>
    </row>
  </sheetData>
  <phoneticPr fontId="0" type="noConversion"/>
  <printOptions horizontalCentered="1"/>
  <pageMargins left="0.7" right="0.7" top="0.75" bottom="0.75" header="0.3" footer="0.3"/>
  <pageSetup scale="42" fitToHeight="2" orientation="landscape" r:id="rId1"/>
  <headerFooter>
    <oddHeader>&amp;C&amp;"Arial,Bold"&amp;16&amp;A</oddHeader>
    <oddFooter>&amp;C&amp;F</oddFooter>
  </headerFooter>
  <rowBreaks count="1" manualBreakCount="1">
    <brk id="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5"/>
  <sheetViews>
    <sheetView workbookViewId="0">
      <selection activeCell="F13" sqref="F13"/>
    </sheetView>
  </sheetViews>
  <sheetFormatPr defaultColWidth="8.7109375" defaultRowHeight="11.25"/>
  <cols>
    <col min="1" max="1" width="3" style="186" customWidth="1"/>
    <col min="2" max="2" width="7" style="186" customWidth="1"/>
    <col min="3" max="3" width="2.28515625" style="186" customWidth="1"/>
    <col min="4" max="4" width="8.7109375" style="186" customWidth="1"/>
    <col min="5" max="5" width="12.28515625" style="186" customWidth="1"/>
    <col min="6" max="6" width="9.7109375" style="186" customWidth="1"/>
    <col min="7" max="7" width="8.7109375" style="38" customWidth="1"/>
    <col min="8" max="8" width="2.28515625" style="38" customWidth="1"/>
    <col min="9" max="9" width="3.28515625" style="107" bestFit="1" customWidth="1"/>
    <col min="10" max="10" width="2.28515625" style="38" customWidth="1"/>
    <col min="11" max="11" width="9.7109375" style="38" customWidth="1"/>
    <col min="12" max="12" width="2.28515625" style="38" customWidth="1"/>
    <col min="13" max="13" width="10.28515625" style="38" customWidth="1"/>
    <col min="14" max="14" width="2" style="38" customWidth="1"/>
    <col min="15" max="15" width="9.7109375" style="107" customWidth="1"/>
    <col min="16" max="16" width="13.28515625" style="107" customWidth="1"/>
    <col min="17" max="17" width="1.7109375" style="107" customWidth="1"/>
    <col min="18" max="18" width="14" style="107" customWidth="1"/>
    <col min="19" max="19" width="4.140625" style="107" customWidth="1"/>
    <col min="20" max="20" width="11.7109375" style="107" customWidth="1"/>
    <col min="21" max="21" width="13.140625" style="107" customWidth="1"/>
    <col min="22" max="22" width="12" style="107" customWidth="1"/>
    <col min="23" max="23" width="10.28515625" style="107" customWidth="1"/>
    <col min="24" max="24" width="12.7109375" style="107" customWidth="1"/>
    <col min="25" max="25" width="14.140625" style="107" customWidth="1"/>
    <col min="26" max="26" width="14" style="38" customWidth="1"/>
    <col min="27" max="27" width="3.7109375" style="38" customWidth="1"/>
    <col min="28" max="28" width="9.42578125" style="38" bestFit="1" customWidth="1"/>
    <col min="29" max="16384" width="8.7109375" style="38"/>
  </cols>
  <sheetData>
    <row r="1" spans="1:28" s="182" customFormat="1" ht="23.25" thickBot="1">
      <c r="A1" s="181"/>
      <c r="B1" s="216" t="s">
        <v>238</v>
      </c>
      <c r="C1" s="216"/>
      <c r="D1" s="216"/>
      <c r="E1" s="216"/>
      <c r="F1" s="231" t="s">
        <v>281</v>
      </c>
      <c r="G1" s="229" t="s">
        <v>279</v>
      </c>
      <c r="H1" s="229"/>
      <c r="I1" s="228" t="s">
        <v>221</v>
      </c>
      <c r="J1" s="229"/>
      <c r="K1" s="228" t="s">
        <v>502</v>
      </c>
      <c r="L1" s="229"/>
      <c r="M1" s="228" t="s">
        <v>280</v>
      </c>
      <c r="N1" s="229"/>
      <c r="O1" s="229" t="s">
        <v>198</v>
      </c>
      <c r="P1" s="229" t="s">
        <v>276</v>
      </c>
      <c r="Q1" s="227"/>
      <c r="R1" s="228" t="s">
        <v>332</v>
      </c>
      <c r="S1" s="108"/>
      <c r="T1" s="1050" t="s">
        <v>277</v>
      </c>
      <c r="U1" s="1050"/>
      <c r="V1" s="1050"/>
      <c r="W1" s="1050"/>
      <c r="X1" s="1050"/>
      <c r="Y1" s="1050"/>
      <c r="Z1" s="182" t="s">
        <v>150</v>
      </c>
    </row>
    <row r="2" spans="1:28">
      <c r="A2" s="169" t="s">
        <v>266</v>
      </c>
      <c r="B2" s="169"/>
      <c r="C2" s="169"/>
      <c r="D2" s="169"/>
      <c r="E2" s="169"/>
      <c r="F2" s="170"/>
      <c r="O2" s="108" t="s">
        <v>243</v>
      </c>
      <c r="P2" s="183" t="s">
        <v>224</v>
      </c>
      <c r="Q2" s="183"/>
      <c r="R2" s="183"/>
      <c r="S2" s="183"/>
      <c r="T2" s="183" t="s">
        <v>261</v>
      </c>
      <c r="U2" s="183" t="s">
        <v>262</v>
      </c>
      <c r="V2" s="183" t="s">
        <v>263</v>
      </c>
      <c r="W2" s="183" t="s">
        <v>264</v>
      </c>
      <c r="X2" s="183" t="s">
        <v>265</v>
      </c>
      <c r="Y2" s="107" t="s">
        <v>278</v>
      </c>
    </row>
    <row r="3" spans="1:28">
      <c r="A3" s="169"/>
      <c r="B3" s="169"/>
      <c r="C3" s="169"/>
      <c r="D3" s="169"/>
      <c r="E3" s="169"/>
      <c r="F3" s="170"/>
      <c r="M3" s="197">
        <f>SUM(M5/12)</f>
        <v>1997.2933333333333</v>
      </c>
      <c r="O3" s="184">
        <f>Y3</f>
        <v>0.13819999999999999</v>
      </c>
      <c r="P3" s="970">
        <v>0.21160000000000001</v>
      </c>
      <c r="Q3" s="185"/>
      <c r="R3" s="185"/>
      <c r="S3" s="184"/>
      <c r="T3" s="184">
        <v>1.4500000000000001E-2</v>
      </c>
      <c r="U3" s="184">
        <v>6.2E-2</v>
      </c>
      <c r="V3" s="184">
        <v>0.03</v>
      </c>
      <c r="W3" s="184">
        <v>1.6999999999999999E-3</v>
      </c>
      <c r="X3" s="184">
        <v>0.03</v>
      </c>
      <c r="Y3" s="184">
        <f>SUM(T3:X3)</f>
        <v>0.13819999999999999</v>
      </c>
    </row>
    <row r="4" spans="1:28">
      <c r="A4" s="169"/>
      <c r="B4" s="169"/>
      <c r="C4" s="169"/>
      <c r="D4" s="169"/>
      <c r="E4" s="169"/>
      <c r="F4" s="170"/>
      <c r="P4" s="184">
        <v>0.06</v>
      </c>
      <c r="S4" s="183"/>
      <c r="T4" s="183"/>
      <c r="U4" s="183"/>
      <c r="V4" s="183"/>
      <c r="W4" s="183"/>
      <c r="X4" s="183"/>
    </row>
    <row r="5" spans="1:28">
      <c r="A5" s="171"/>
      <c r="B5" s="171" t="s">
        <v>267</v>
      </c>
      <c r="C5" s="171"/>
      <c r="D5" s="171"/>
      <c r="E5" s="171"/>
      <c r="F5" s="967">
        <v>116400</v>
      </c>
      <c r="G5" s="176">
        <f>SUM(F5/2080)</f>
        <v>55.96153846153846</v>
      </c>
      <c r="I5" s="178">
        <v>1</v>
      </c>
      <c r="K5" s="208">
        <f>SUM(F5*I5)</f>
        <v>116400</v>
      </c>
      <c r="M5" s="968">
        <f>(3400)+(((1587)*12)*1.08)</f>
        <v>23967.52</v>
      </c>
      <c r="O5" s="106">
        <f t="shared" ref="O5:O14" si="0">SUM($K5*O$3)</f>
        <v>16086.48</v>
      </c>
      <c r="P5" s="106">
        <f>SUM($K5)*(P$3+P$4)</f>
        <v>31614.240000000002</v>
      </c>
      <c r="Q5" s="106"/>
      <c r="R5" s="106">
        <f t="shared" ref="R5:R14" si="1">SUM(K5:Q5)</f>
        <v>188068.24</v>
      </c>
      <c r="S5" s="106"/>
      <c r="T5" s="106">
        <f>SUM($K5*T$3)</f>
        <v>1687.8000000000002</v>
      </c>
      <c r="U5" s="106">
        <f>SUM($K5*U$3)</f>
        <v>7216.8</v>
      </c>
      <c r="V5" s="106">
        <f>SUM($K5*V$3)</f>
        <v>3492</v>
      </c>
      <c r="W5" s="106">
        <f t="shared" ref="W5:Y14" si="2">SUM($K5*W$3)</f>
        <v>197.88</v>
      </c>
      <c r="X5" s="106">
        <f t="shared" si="2"/>
        <v>3492</v>
      </c>
      <c r="Y5" s="106">
        <f t="shared" si="2"/>
        <v>16086.48</v>
      </c>
      <c r="Z5" s="187">
        <f>SUM(K5+P5+Q5+M5+Y5)</f>
        <v>188068.24</v>
      </c>
      <c r="AB5" s="197"/>
    </row>
    <row r="6" spans="1:28">
      <c r="A6" s="171"/>
      <c r="B6" s="171" t="s">
        <v>268</v>
      </c>
      <c r="C6" s="171"/>
      <c r="D6" s="171"/>
      <c r="E6" s="171"/>
      <c r="F6" s="967">
        <f>'Wage Schedule'!I6</f>
        <v>48395.256754359383</v>
      </c>
      <c r="G6" s="176">
        <f t="shared" ref="G6:G14" si="3">SUM(F6/2080)</f>
        <v>23.26695036267278</v>
      </c>
      <c r="I6" s="178">
        <v>1</v>
      </c>
      <c r="K6" s="208">
        <f t="shared" ref="K6:K14" si="4">SUM(F6*I6)</f>
        <v>48395.256754359383</v>
      </c>
      <c r="M6" s="968">
        <f>(3400)+(((1363)*12)*1.08)</f>
        <v>21064.48</v>
      </c>
      <c r="O6" s="106">
        <f t="shared" si="0"/>
        <v>6688.2244834524663</v>
      </c>
      <c r="P6" s="106">
        <f t="shared" ref="P6:P14" si="5">SUM($K6)*(P$3+P$4)</f>
        <v>13144.151734484009</v>
      </c>
      <c r="Q6" s="106"/>
      <c r="R6" s="106">
        <f t="shared" si="1"/>
        <v>89292.112972295858</v>
      </c>
      <c r="S6" s="106"/>
      <c r="T6" s="106">
        <f t="shared" ref="T6:V14" si="6">SUM($K6*T$3)</f>
        <v>701.73122293821109</v>
      </c>
      <c r="U6" s="106">
        <f t="shared" si="6"/>
        <v>3000.5059187702818</v>
      </c>
      <c r="V6" s="106">
        <f t="shared" si="6"/>
        <v>1451.8577026307814</v>
      </c>
      <c r="W6" s="106">
        <f t="shared" si="2"/>
        <v>82.27193648241095</v>
      </c>
      <c r="X6" s="106">
        <f t="shared" si="2"/>
        <v>1451.8577026307814</v>
      </c>
      <c r="Y6" s="106">
        <f t="shared" si="2"/>
        <v>6688.2244834524663</v>
      </c>
      <c r="Z6" s="187">
        <f>SUM(K6+P6+Q6+M10+Y6)</f>
        <v>86350.192972295859</v>
      </c>
      <c r="AB6" s="197"/>
    </row>
    <row r="7" spans="1:28">
      <c r="A7" s="171"/>
      <c r="B7" s="171" t="s">
        <v>269</v>
      </c>
      <c r="C7" s="171"/>
      <c r="D7" s="171"/>
      <c r="E7" s="171"/>
      <c r="F7" s="967">
        <f>'Wage Schedule'!I7</f>
        <v>48395.256754359383</v>
      </c>
      <c r="G7" s="176">
        <f t="shared" si="3"/>
        <v>23.26695036267278</v>
      </c>
      <c r="I7" s="178">
        <v>0.6</v>
      </c>
      <c r="K7" s="208">
        <f t="shared" si="4"/>
        <v>29037.154052615628</v>
      </c>
      <c r="M7" s="968"/>
      <c r="O7" s="106">
        <f t="shared" si="0"/>
        <v>4012.9346900714795</v>
      </c>
      <c r="P7" s="106">
        <f t="shared" si="5"/>
        <v>7886.4910406904046</v>
      </c>
      <c r="Q7" s="106"/>
      <c r="R7" s="106">
        <f t="shared" si="1"/>
        <v>40936.579783377507</v>
      </c>
      <c r="S7" s="106"/>
      <c r="T7" s="106">
        <f t="shared" si="6"/>
        <v>421.0387337629266</v>
      </c>
      <c r="U7" s="106">
        <f t="shared" si="6"/>
        <v>1800.3035512621689</v>
      </c>
      <c r="V7" s="106">
        <f t="shared" si="6"/>
        <v>871.11462157846881</v>
      </c>
      <c r="W7" s="106">
        <f t="shared" si="2"/>
        <v>49.363161889446566</v>
      </c>
      <c r="X7" s="106">
        <f t="shared" si="2"/>
        <v>871.11462157846881</v>
      </c>
      <c r="Y7" s="106">
        <f t="shared" si="2"/>
        <v>4012.9346900714795</v>
      </c>
      <c r="Z7" s="187">
        <f t="shared" ref="Z7:Z14" si="7">SUM(K7+P7+Q7+M7+Y7)</f>
        <v>40936.579783377514</v>
      </c>
      <c r="AB7" s="197"/>
    </row>
    <row r="8" spans="1:28">
      <c r="A8" s="171"/>
      <c r="B8" s="171" t="s">
        <v>270</v>
      </c>
      <c r="C8" s="171"/>
      <c r="D8" s="171"/>
      <c r="E8" s="171"/>
      <c r="F8" s="967">
        <v>0</v>
      </c>
      <c r="G8" s="176">
        <f t="shared" si="3"/>
        <v>0</v>
      </c>
      <c r="I8" s="178">
        <v>0</v>
      </c>
      <c r="K8" s="208">
        <f t="shared" si="4"/>
        <v>0</v>
      </c>
      <c r="M8" s="969"/>
      <c r="O8" s="106">
        <f t="shared" si="0"/>
        <v>0</v>
      </c>
      <c r="P8" s="106">
        <f t="shared" si="5"/>
        <v>0</v>
      </c>
      <c r="Q8" s="106"/>
      <c r="R8" s="106">
        <f t="shared" si="1"/>
        <v>0</v>
      </c>
      <c r="S8" s="106"/>
      <c r="T8" s="106">
        <f t="shared" si="6"/>
        <v>0</v>
      </c>
      <c r="U8" s="106">
        <f t="shared" si="6"/>
        <v>0</v>
      </c>
      <c r="V8" s="106">
        <f t="shared" si="6"/>
        <v>0</v>
      </c>
      <c r="W8" s="106">
        <f t="shared" si="2"/>
        <v>0</v>
      </c>
      <c r="X8" s="106">
        <f t="shared" si="2"/>
        <v>0</v>
      </c>
      <c r="Y8" s="106">
        <f t="shared" si="2"/>
        <v>0</v>
      </c>
      <c r="Z8" s="187">
        <f t="shared" si="7"/>
        <v>0</v>
      </c>
      <c r="AB8" s="197"/>
    </row>
    <row r="9" spans="1:28">
      <c r="A9" s="171"/>
      <c r="B9" s="171" t="s">
        <v>271</v>
      </c>
      <c r="C9" s="171"/>
      <c r="D9" s="171"/>
      <c r="E9" s="171"/>
      <c r="F9" s="967">
        <f>'Wage Schedule'!E8</f>
        <v>41407.589999999997</v>
      </c>
      <c r="G9" s="176">
        <f t="shared" si="3"/>
        <v>19.907495192307692</v>
      </c>
      <c r="I9" s="178">
        <v>0</v>
      </c>
      <c r="K9" s="208">
        <f t="shared" si="4"/>
        <v>0</v>
      </c>
      <c r="M9" s="968">
        <v>0</v>
      </c>
      <c r="O9" s="106">
        <f t="shared" si="0"/>
        <v>0</v>
      </c>
      <c r="P9" s="106">
        <f t="shared" si="5"/>
        <v>0</v>
      </c>
      <c r="Q9" s="106"/>
      <c r="R9" s="106">
        <f t="shared" si="1"/>
        <v>0</v>
      </c>
      <c r="S9" s="106"/>
      <c r="T9" s="106">
        <f t="shared" si="6"/>
        <v>0</v>
      </c>
      <c r="U9" s="106">
        <f t="shared" si="6"/>
        <v>0</v>
      </c>
      <c r="V9" s="106">
        <f t="shared" si="6"/>
        <v>0</v>
      </c>
      <c r="W9" s="106">
        <f t="shared" si="2"/>
        <v>0</v>
      </c>
      <c r="X9" s="106">
        <f t="shared" si="2"/>
        <v>0</v>
      </c>
      <c r="Y9" s="106">
        <f t="shared" si="2"/>
        <v>0</v>
      </c>
      <c r="Z9" s="187">
        <f t="shared" si="7"/>
        <v>0</v>
      </c>
      <c r="AB9" s="197"/>
    </row>
    <row r="10" spans="1:28">
      <c r="A10" s="171"/>
      <c r="B10" s="171" t="s">
        <v>272</v>
      </c>
      <c r="C10" s="171"/>
      <c r="D10" s="171"/>
      <c r="E10" s="171"/>
      <c r="F10" s="967">
        <f>'Wage Schedule'!I9</f>
        <v>75496.776663656259</v>
      </c>
      <c r="G10" s="176">
        <f>SUM(F10/2080)</f>
        <v>36.296527242142432</v>
      </c>
      <c r="I10" s="178">
        <v>1</v>
      </c>
      <c r="K10" s="208">
        <f t="shared" si="4"/>
        <v>75496.776663656259</v>
      </c>
      <c r="M10" s="968">
        <f>(3400)+(((1136)*12)*1.08)</f>
        <v>18122.560000000001</v>
      </c>
      <c r="O10" s="106">
        <f t="shared" si="0"/>
        <v>10433.654534917294</v>
      </c>
      <c r="P10" s="106">
        <f t="shared" si="5"/>
        <v>20504.924541849039</v>
      </c>
      <c r="Q10" s="106"/>
      <c r="R10" s="106">
        <f t="shared" si="1"/>
        <v>124557.91574042258</v>
      </c>
      <c r="S10" s="106"/>
      <c r="T10" s="106">
        <f t="shared" si="6"/>
        <v>1094.7032616230158</v>
      </c>
      <c r="U10" s="106">
        <f t="shared" si="6"/>
        <v>4680.800153146688</v>
      </c>
      <c r="V10" s="106">
        <f t="shared" si="6"/>
        <v>2264.9032999096876</v>
      </c>
      <c r="W10" s="106">
        <f t="shared" si="2"/>
        <v>128.34452032821562</v>
      </c>
      <c r="X10" s="106">
        <f t="shared" si="2"/>
        <v>2264.9032999096876</v>
      </c>
      <c r="Y10" s="106">
        <f t="shared" si="2"/>
        <v>10433.654534917294</v>
      </c>
      <c r="Z10" s="187">
        <f t="shared" si="7"/>
        <v>124557.91574042258</v>
      </c>
      <c r="AB10" s="197"/>
    </row>
    <row r="11" spans="1:28">
      <c r="A11" s="171"/>
      <c r="B11" s="171" t="s">
        <v>273</v>
      </c>
      <c r="C11" s="171"/>
      <c r="D11" s="171"/>
      <c r="E11" s="171"/>
      <c r="F11" s="967">
        <f>'Wage Schedule'!H10</f>
        <v>59835.604618124999</v>
      </c>
      <c r="G11" s="176">
        <f t="shared" si="3"/>
        <v>28.767117604867789</v>
      </c>
      <c r="I11" s="178">
        <v>1</v>
      </c>
      <c r="K11" s="208">
        <f t="shared" si="4"/>
        <v>59835.604618124999</v>
      </c>
      <c r="M11" s="968">
        <f>(3400)+(((1573)*12)*1.08)</f>
        <v>23786.080000000002</v>
      </c>
      <c r="O11" s="106">
        <f t="shared" si="0"/>
        <v>8269.2805582248748</v>
      </c>
      <c r="P11" s="106">
        <f t="shared" si="5"/>
        <v>16251.350214282749</v>
      </c>
      <c r="Q11" s="106"/>
      <c r="R11" s="106">
        <f>SUM(K11:Q11)</f>
        <v>108142.31539063262</v>
      </c>
      <c r="S11" s="106"/>
      <c r="T11" s="106">
        <f t="shared" si="6"/>
        <v>867.61626696281257</v>
      </c>
      <c r="U11" s="106">
        <f t="shared" si="6"/>
        <v>3709.8074863237498</v>
      </c>
      <c r="V11" s="106">
        <f t="shared" si="6"/>
        <v>1795.0681385437499</v>
      </c>
      <c r="W11" s="106">
        <f t="shared" si="2"/>
        <v>101.72052785081249</v>
      </c>
      <c r="X11" s="106">
        <f t="shared" si="2"/>
        <v>1795.0681385437499</v>
      </c>
      <c r="Y11" s="106">
        <f t="shared" si="2"/>
        <v>8269.2805582248748</v>
      </c>
      <c r="Z11" s="187">
        <f>SUM(K11+P11+Q11+M11+Y11)</f>
        <v>108142.31539063262</v>
      </c>
      <c r="AB11" s="197"/>
    </row>
    <row r="12" spans="1:28">
      <c r="A12" s="171"/>
      <c r="B12" s="171" t="s">
        <v>274</v>
      </c>
      <c r="C12" s="171"/>
      <c r="D12" s="171"/>
      <c r="E12" s="171"/>
      <c r="F12" s="967">
        <f>'Wage Schedule'!I11</f>
        <v>53668.788356531251</v>
      </c>
      <c r="G12" s="176">
        <f t="shared" si="3"/>
        <v>25.80230209448618</v>
      </c>
      <c r="I12" s="178">
        <v>1</v>
      </c>
      <c r="K12" s="208">
        <f>SUM(F12*I12)</f>
        <v>53668.788356531251</v>
      </c>
      <c r="M12" s="968">
        <v>23786</v>
      </c>
      <c r="O12" s="106">
        <f t="shared" si="0"/>
        <v>7417.0265508726188</v>
      </c>
      <c r="P12" s="106">
        <f t="shared" si="5"/>
        <v>14576.442917633889</v>
      </c>
      <c r="Q12" s="106"/>
      <c r="R12" s="106">
        <f t="shared" si="1"/>
        <v>99448.257825037756</v>
      </c>
      <c r="S12" s="106"/>
      <c r="T12" s="106">
        <f t="shared" si="6"/>
        <v>778.19743116970324</v>
      </c>
      <c r="U12" s="106">
        <f t="shared" si="6"/>
        <v>3327.4648781049377</v>
      </c>
      <c r="V12" s="106">
        <f t="shared" si="6"/>
        <v>1610.0636506959374</v>
      </c>
      <c r="W12" s="106">
        <f t="shared" si="2"/>
        <v>91.236940206103128</v>
      </c>
      <c r="X12" s="106">
        <f t="shared" si="2"/>
        <v>1610.0636506959374</v>
      </c>
      <c r="Y12" s="106">
        <f t="shared" si="2"/>
        <v>7417.0265508726188</v>
      </c>
      <c r="Z12" s="187">
        <f>SUM(K12+P12+Q12+M12+Y12)</f>
        <v>99448.257825037756</v>
      </c>
      <c r="AB12" s="197"/>
    </row>
    <row r="13" spans="1:28">
      <c r="A13" s="171"/>
      <c r="B13" s="171" t="s">
        <v>275</v>
      </c>
      <c r="C13" s="171"/>
      <c r="D13" s="171"/>
      <c r="E13" s="171"/>
      <c r="F13" s="967">
        <f>'Wage Schedule'!I12</f>
        <v>38935.77688350001</v>
      </c>
      <c r="G13" s="176">
        <v>12.75</v>
      </c>
      <c r="I13" s="178">
        <v>0</v>
      </c>
      <c r="K13" s="208">
        <f t="shared" si="4"/>
        <v>0</v>
      </c>
      <c r="M13" s="968">
        <v>0</v>
      </c>
      <c r="O13" s="106">
        <f t="shared" si="0"/>
        <v>0</v>
      </c>
      <c r="P13" s="106">
        <f t="shared" si="5"/>
        <v>0</v>
      </c>
      <c r="Q13" s="106"/>
      <c r="R13" s="106">
        <f t="shared" si="1"/>
        <v>0</v>
      </c>
      <c r="S13" s="106"/>
      <c r="T13" s="106">
        <f t="shared" si="6"/>
        <v>0</v>
      </c>
      <c r="U13" s="106">
        <f t="shared" si="6"/>
        <v>0</v>
      </c>
      <c r="V13" s="106">
        <f t="shared" si="6"/>
        <v>0</v>
      </c>
      <c r="W13" s="106">
        <f t="shared" si="2"/>
        <v>0</v>
      </c>
      <c r="X13" s="106">
        <f t="shared" si="2"/>
        <v>0</v>
      </c>
      <c r="Y13" s="106">
        <f t="shared" si="2"/>
        <v>0</v>
      </c>
      <c r="Z13" s="187">
        <f t="shared" si="7"/>
        <v>0</v>
      </c>
      <c r="AB13" s="197"/>
    </row>
    <row r="14" spans="1:28">
      <c r="A14" s="171"/>
      <c r="B14" s="171" t="s">
        <v>415</v>
      </c>
      <c r="C14" s="171"/>
      <c r="D14" s="171"/>
      <c r="E14" s="171"/>
      <c r="F14" s="967">
        <v>0</v>
      </c>
      <c r="G14" s="176">
        <f t="shared" si="3"/>
        <v>0</v>
      </c>
      <c r="I14" s="178">
        <v>0.3</v>
      </c>
      <c r="K14" s="208">
        <f t="shared" si="4"/>
        <v>0</v>
      </c>
      <c r="M14" s="968"/>
      <c r="O14" s="106">
        <f t="shared" si="0"/>
        <v>0</v>
      </c>
      <c r="P14" s="106">
        <f t="shared" si="5"/>
        <v>0</v>
      </c>
      <c r="Q14" s="106"/>
      <c r="R14" s="106">
        <f t="shared" si="1"/>
        <v>0</v>
      </c>
      <c r="S14" s="106"/>
      <c r="T14" s="106">
        <f t="shared" si="6"/>
        <v>0</v>
      </c>
      <c r="U14" s="106">
        <f t="shared" si="6"/>
        <v>0</v>
      </c>
      <c r="V14" s="106">
        <f t="shared" si="6"/>
        <v>0</v>
      </c>
      <c r="W14" s="106">
        <f t="shared" si="2"/>
        <v>0</v>
      </c>
      <c r="X14" s="106">
        <f t="shared" si="2"/>
        <v>0</v>
      </c>
      <c r="Y14" s="106">
        <f t="shared" si="2"/>
        <v>0</v>
      </c>
      <c r="Z14" s="187">
        <f t="shared" si="7"/>
        <v>0</v>
      </c>
      <c r="AB14" s="197"/>
    </row>
    <row r="15" spans="1:28" s="175" customFormat="1">
      <c r="A15" s="171"/>
      <c r="B15" s="171"/>
      <c r="C15" s="171"/>
      <c r="D15" s="171"/>
      <c r="E15" s="171"/>
      <c r="F15" s="173"/>
      <c r="G15" s="38"/>
      <c r="H15" s="38"/>
      <c r="I15" s="107"/>
      <c r="J15" s="38"/>
      <c r="K15" s="209"/>
      <c r="L15" s="38"/>
      <c r="M15" s="38"/>
      <c r="N15" s="38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87"/>
    </row>
    <row r="16" spans="1:28">
      <c r="A16" s="1052" t="s">
        <v>150</v>
      </c>
      <c r="B16" s="1052"/>
      <c r="C16" s="1052"/>
      <c r="D16" s="1052"/>
      <c r="E16" s="169"/>
      <c r="F16" s="174"/>
      <c r="G16" s="175"/>
      <c r="H16" s="175"/>
      <c r="I16" s="177"/>
      <c r="J16" s="175"/>
      <c r="K16" s="188">
        <f>SUM(K5:K15)</f>
        <v>382833.58044528752</v>
      </c>
      <c r="L16" s="180"/>
      <c r="M16" s="188">
        <f t="shared" ref="M16:R16" si="8">SUM(M5:M15)</f>
        <v>110726.64</v>
      </c>
      <c r="N16" s="188"/>
      <c r="O16" s="188">
        <f t="shared" si="8"/>
        <v>52907.60081753874</v>
      </c>
      <c r="P16" s="188">
        <f t="shared" si="8"/>
        <v>103977.60044894009</v>
      </c>
      <c r="Q16" s="180"/>
      <c r="R16" s="180">
        <f t="shared" si="8"/>
        <v>650445.42171176639</v>
      </c>
      <c r="S16" s="180"/>
      <c r="T16" s="180">
        <f t="shared" ref="T16:Y16" si="9">SUM(T5:T15)</f>
        <v>5551.0869164566693</v>
      </c>
      <c r="U16" s="180">
        <f t="shared" si="9"/>
        <v>23735.681987607823</v>
      </c>
      <c r="V16" s="180">
        <f t="shared" si="9"/>
        <v>11485.007413358624</v>
      </c>
      <c r="W16" s="180">
        <f t="shared" si="9"/>
        <v>650.81708675698872</v>
      </c>
      <c r="X16" s="180">
        <f t="shared" si="9"/>
        <v>11485.007413358624</v>
      </c>
      <c r="Y16" s="180">
        <f t="shared" si="9"/>
        <v>52907.60081753874</v>
      </c>
      <c r="Z16" s="187">
        <f>SUM(K16+P16+Q16+M16+Y16)</f>
        <v>650445.42171176639</v>
      </c>
    </row>
    <row r="17" spans="1:26">
      <c r="A17" s="171"/>
      <c r="B17" s="171"/>
      <c r="C17" s="171"/>
      <c r="D17" s="171"/>
      <c r="E17" s="171"/>
      <c r="F17" s="172"/>
      <c r="G17" s="176"/>
      <c r="I17" s="179"/>
      <c r="K17" s="176"/>
      <c r="M17" s="17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87"/>
    </row>
    <row r="18" spans="1:26">
      <c r="A18" s="181"/>
      <c r="B18" s="216"/>
      <c r="C18" s="216"/>
      <c r="D18" s="216"/>
      <c r="E18" s="216"/>
      <c r="F18" s="1051"/>
      <c r="G18" s="1051"/>
      <c r="H18" s="1051"/>
      <c r="I18" s="1051"/>
      <c r="J18" s="1051"/>
      <c r="K18" s="1051"/>
      <c r="L18" s="1051"/>
      <c r="M18" s="1051"/>
      <c r="N18" s="1051"/>
      <c r="O18" s="1051"/>
      <c r="P18" s="300"/>
      <c r="Q18" s="106"/>
      <c r="R18" s="106"/>
      <c r="S18" s="106"/>
      <c r="T18" s="106"/>
      <c r="U18" s="106"/>
      <c r="V18" s="106"/>
      <c r="W18" s="106"/>
      <c r="X18" s="106"/>
      <c r="Y18" s="106"/>
      <c r="Z18" s="187"/>
    </row>
    <row r="19" spans="1:26">
      <c r="A19" s="301"/>
      <c r="B19" s="301"/>
      <c r="C19" s="301"/>
      <c r="D19" s="301"/>
      <c r="E19" s="301"/>
      <c r="F19" s="936"/>
      <c r="G19" s="303"/>
      <c r="H19" s="304"/>
      <c r="I19" s="305"/>
      <c r="J19" s="182"/>
      <c r="K19" s="182"/>
      <c r="L19" s="182"/>
      <c r="M19" s="306"/>
      <c r="N19" s="182"/>
      <c r="O19" s="182"/>
      <c r="P19" s="305"/>
      <c r="T19" s="106"/>
      <c r="U19" s="106"/>
      <c r="V19" s="106"/>
      <c r="W19" s="106"/>
      <c r="X19" s="106"/>
      <c r="Y19" s="106"/>
      <c r="Z19" s="187">
        <f>SUM(Z12/1040)</f>
        <v>95.623324831767079</v>
      </c>
    </row>
    <row r="20" spans="1:26">
      <c r="A20" s="301"/>
      <c r="B20" s="301"/>
      <c r="C20" s="301"/>
      <c r="D20" s="301"/>
      <c r="E20" s="301"/>
      <c r="F20" s="302"/>
      <c r="G20" s="314"/>
      <c r="H20" s="304"/>
      <c r="I20" s="315"/>
      <c r="J20" s="315"/>
      <c r="K20" s="315"/>
      <c r="L20" s="315"/>
      <c r="M20" s="315"/>
      <c r="N20" s="315"/>
      <c r="O20" s="315"/>
      <c r="P20" s="315"/>
      <c r="T20" s="106"/>
      <c r="U20" s="106"/>
      <c r="V20" s="106"/>
      <c r="W20" s="106"/>
      <c r="X20" s="106"/>
      <c r="Y20" s="106"/>
      <c r="Z20" s="187"/>
    </row>
    <row r="21" spans="1:26">
      <c r="A21" s="301"/>
      <c r="B21" s="301"/>
      <c r="C21" s="301"/>
      <c r="D21" s="301"/>
      <c r="E21" s="301"/>
      <c r="F21" s="302"/>
      <c r="G21" s="173"/>
      <c r="H21" s="307"/>
      <c r="I21" s="308"/>
      <c r="J21" s="307"/>
      <c r="K21" s="307"/>
      <c r="L21" s="307"/>
      <c r="M21" s="309"/>
      <c r="N21" s="307"/>
      <c r="O21" s="307"/>
      <c r="P21" s="308"/>
      <c r="T21" s="106"/>
      <c r="U21" s="106"/>
      <c r="V21" s="106"/>
      <c r="W21" s="106"/>
      <c r="X21" s="106"/>
      <c r="Y21" s="106"/>
      <c r="Z21" s="187"/>
    </row>
    <row r="22" spans="1:26">
      <c r="A22" s="310"/>
      <c r="B22" s="310"/>
      <c r="C22" s="310"/>
      <c r="D22" s="310"/>
      <c r="E22" s="310"/>
      <c r="F22" s="302"/>
      <c r="G22" s="311"/>
      <c r="H22" s="308"/>
      <c r="I22" s="308"/>
      <c r="J22" s="308"/>
      <c r="K22" s="308"/>
      <c r="L22" s="308"/>
      <c r="M22" s="300"/>
      <c r="N22" s="308"/>
      <c r="O22" s="308"/>
      <c r="P22" s="308"/>
      <c r="T22" s="106"/>
      <c r="U22" s="106"/>
      <c r="V22" s="106"/>
      <c r="W22" s="106"/>
      <c r="X22" s="106"/>
      <c r="Y22" s="106"/>
      <c r="Z22" s="187"/>
    </row>
    <row r="23" spans="1:26">
      <c r="A23" s="310"/>
      <c r="B23" s="310"/>
      <c r="C23" s="310"/>
      <c r="D23" s="310"/>
      <c r="E23" s="310"/>
      <c r="F23" s="302"/>
      <c r="G23" s="311"/>
      <c r="H23" s="308"/>
      <c r="I23" s="308"/>
      <c r="J23" s="308"/>
      <c r="K23" s="308"/>
      <c r="L23" s="308"/>
      <c r="M23" s="300"/>
      <c r="N23" s="308"/>
      <c r="O23" s="308"/>
      <c r="P23" s="308"/>
      <c r="T23" s="106"/>
      <c r="U23" s="106"/>
      <c r="V23" s="106"/>
      <c r="W23" s="106"/>
      <c r="X23" s="106"/>
      <c r="Y23" s="106"/>
      <c r="Z23" s="187"/>
    </row>
    <row r="24" spans="1:26">
      <c r="A24" s="310"/>
      <c r="B24" s="310"/>
      <c r="C24" s="310"/>
      <c r="D24" s="310"/>
      <c r="E24" s="310"/>
      <c r="F24" s="302"/>
      <c r="G24" s="311"/>
      <c r="H24" s="308"/>
      <c r="I24" s="308"/>
      <c r="J24" s="308"/>
      <c r="K24" s="308"/>
      <c r="L24" s="308"/>
      <c r="M24" s="300"/>
      <c r="N24" s="308"/>
      <c r="O24" s="308"/>
      <c r="P24" s="308"/>
      <c r="T24" s="106"/>
      <c r="U24" s="106"/>
      <c r="V24" s="106"/>
      <c r="W24" s="106"/>
      <c r="X24" s="106"/>
      <c r="Y24" s="106"/>
      <c r="Z24" s="187"/>
    </row>
    <row r="25" spans="1:26">
      <c r="A25" s="310"/>
      <c r="B25" s="310"/>
      <c r="C25" s="310"/>
      <c r="D25" s="310"/>
      <c r="E25" s="310"/>
      <c r="F25" s="302"/>
      <c r="G25" s="311"/>
      <c r="H25" s="308"/>
      <c r="I25" s="308"/>
      <c r="J25" s="308"/>
      <c r="K25" s="308"/>
      <c r="L25" s="308"/>
      <c r="M25" s="300"/>
      <c r="N25" s="308"/>
      <c r="O25" s="308"/>
      <c r="P25" s="308"/>
      <c r="T25" s="106"/>
      <c r="U25" s="106"/>
      <c r="V25" s="106"/>
      <c r="W25" s="106"/>
      <c r="X25" s="106"/>
      <c r="Y25" s="106"/>
      <c r="Z25" s="187"/>
    </row>
    <row r="26" spans="1:26">
      <c r="A26" s="310"/>
      <c r="B26" s="310"/>
      <c r="C26" s="310"/>
      <c r="D26" s="310"/>
      <c r="E26" s="310"/>
      <c r="F26" s="302"/>
      <c r="G26" s="311"/>
      <c r="H26" s="308"/>
      <c r="I26" s="308"/>
      <c r="J26" s="308"/>
      <c r="K26" s="308"/>
      <c r="L26" s="308"/>
      <c r="M26" s="300"/>
      <c r="N26" s="308"/>
      <c r="O26" s="308"/>
      <c r="P26" s="308"/>
      <c r="T26" s="106"/>
      <c r="U26" s="106"/>
      <c r="V26" s="106"/>
      <c r="W26" s="106"/>
      <c r="X26" s="106"/>
      <c r="Y26" s="106"/>
      <c r="Z26" s="187"/>
    </row>
    <row r="27" spans="1:26">
      <c r="A27" s="310"/>
      <c r="B27" s="310"/>
      <c r="C27" s="310"/>
      <c r="D27" s="310"/>
      <c r="E27" s="310"/>
      <c r="F27" s="302"/>
      <c r="G27" s="308"/>
      <c r="H27" s="308"/>
      <c r="I27" s="308"/>
      <c r="J27" s="308"/>
      <c r="K27" s="308"/>
      <c r="L27" s="308"/>
      <c r="M27" s="300"/>
      <c r="N27" s="308"/>
      <c r="O27" s="308"/>
      <c r="P27" s="308"/>
      <c r="Z27" s="187"/>
    </row>
    <row r="28" spans="1:26">
      <c r="A28" s="310"/>
      <c r="B28" s="310"/>
      <c r="C28" s="310"/>
      <c r="D28" s="310"/>
      <c r="E28" s="310"/>
      <c r="F28" s="302"/>
      <c r="G28" s="308"/>
      <c r="H28" s="308"/>
      <c r="I28" s="308"/>
      <c r="J28" s="308"/>
      <c r="K28" s="308"/>
      <c r="L28" s="308"/>
      <c r="M28" s="300"/>
      <c r="N28" s="308"/>
      <c r="O28" s="308"/>
      <c r="P28" s="312"/>
      <c r="T28" s="180"/>
      <c r="U28" s="180"/>
      <c r="V28" s="180"/>
      <c r="W28" s="180"/>
      <c r="X28" s="180"/>
      <c r="Y28" s="180"/>
      <c r="Z28" s="187"/>
    </row>
    <row r="29" spans="1:26">
      <c r="A29" s="310"/>
      <c r="B29" s="310"/>
      <c r="C29" s="310"/>
      <c r="D29" s="310"/>
      <c r="E29" s="310"/>
      <c r="F29" s="302"/>
      <c r="G29" s="308"/>
      <c r="H29" s="308"/>
      <c r="I29" s="308"/>
      <c r="J29" s="308"/>
      <c r="K29" s="308"/>
      <c r="L29" s="308"/>
      <c r="M29" s="300"/>
      <c r="N29" s="308"/>
      <c r="O29" s="308"/>
      <c r="P29" s="308"/>
    </row>
    <row r="30" spans="1:26">
      <c r="A30" s="310"/>
      <c r="B30" s="310"/>
      <c r="C30" s="310"/>
      <c r="D30" s="310"/>
      <c r="E30" s="310"/>
      <c r="F30" s="302"/>
      <c r="G30" s="308"/>
      <c r="H30" s="308"/>
      <c r="I30" s="308"/>
      <c r="J30" s="308"/>
      <c r="K30" s="308"/>
      <c r="L30" s="308"/>
      <c r="M30" s="300"/>
      <c r="N30" s="308"/>
      <c r="O30" s="308"/>
      <c r="P30" s="308"/>
    </row>
    <row r="31" spans="1:26">
      <c r="A31" s="302"/>
      <c r="B31" s="302"/>
      <c r="C31" s="302"/>
      <c r="D31" s="302"/>
      <c r="E31" s="302"/>
      <c r="F31" s="302"/>
      <c r="G31" s="302"/>
      <c r="H31" s="307"/>
      <c r="I31" s="307"/>
      <c r="J31" s="307"/>
      <c r="K31" s="307"/>
      <c r="L31" s="307"/>
      <c r="M31" s="304"/>
      <c r="N31" s="307"/>
      <c r="O31" s="307"/>
      <c r="P31" s="307"/>
    </row>
    <row r="32" spans="1:26">
      <c r="A32" s="1053"/>
      <c r="B32" s="1053"/>
      <c r="C32" s="1053"/>
      <c r="D32" s="1053"/>
      <c r="E32" s="302"/>
      <c r="F32" s="302"/>
      <c r="G32" s="308"/>
      <c r="H32" s="308"/>
      <c r="I32" s="308"/>
      <c r="J32" s="308"/>
      <c r="K32" s="308"/>
      <c r="L32" s="308"/>
      <c r="M32" s="300"/>
      <c r="N32" s="308"/>
      <c r="O32" s="308"/>
      <c r="P32" s="313"/>
    </row>
    <row r="33" spans="1:17">
      <c r="A33" s="302"/>
      <c r="B33" s="302"/>
      <c r="C33" s="302"/>
      <c r="D33" s="302"/>
      <c r="E33" s="302"/>
      <c r="F33" s="302"/>
      <c r="G33" s="307"/>
      <c r="H33" s="307"/>
      <c r="I33" s="304"/>
      <c r="J33" s="307"/>
      <c r="K33" s="307"/>
      <c r="L33" s="307"/>
      <c r="M33" s="307"/>
      <c r="N33" s="307"/>
      <c r="O33" s="304"/>
      <c r="P33" s="307"/>
      <c r="Q33" s="38"/>
    </row>
    <row r="34" spans="1:17">
      <c r="A34" s="302"/>
      <c r="B34" s="302"/>
      <c r="C34" s="302"/>
      <c r="D34" s="302"/>
      <c r="E34" s="302"/>
      <c r="F34" s="302"/>
      <c r="G34" s="307"/>
      <c r="H34" s="307"/>
      <c r="I34" s="304"/>
      <c r="J34" s="307"/>
      <c r="K34" s="307"/>
      <c r="L34" s="307"/>
      <c r="M34" s="307"/>
      <c r="N34" s="307"/>
      <c r="O34" s="304"/>
      <c r="P34" s="304"/>
    </row>
    <row r="35" spans="1:17">
      <c r="A35" s="302"/>
      <c r="B35" s="302"/>
      <c r="C35" s="302"/>
      <c r="D35" s="302"/>
      <c r="E35" s="302"/>
      <c r="F35" s="302"/>
      <c r="G35" s="307"/>
      <c r="H35" s="307"/>
      <c r="I35" s="304"/>
      <c r="J35" s="307"/>
      <c r="K35" s="307"/>
      <c r="L35" s="307"/>
      <c r="M35" s="307"/>
      <c r="N35" s="307"/>
      <c r="O35" s="304"/>
      <c r="P35" s="316"/>
    </row>
  </sheetData>
  <mergeCells count="4">
    <mergeCell ref="T1:Y1"/>
    <mergeCell ref="F18:O18"/>
    <mergeCell ref="A16:D16"/>
    <mergeCell ref="A32:D32"/>
  </mergeCells>
  <pageMargins left="0.7" right="0.7" top="0.75" bottom="0.75" header="0.3" footer="0.3"/>
  <pageSetup scale="58" orientation="landscape" r:id="rId1"/>
  <headerFooter>
    <oddHeader>&amp;C&amp;"Arial,Bold"&amp;UCITY OF ADAIR VILLAGE ANNUAL BUDGET&amp;U
FISCAL YEAR 2016-17</oddHeader>
    <oddFooter>&amp;C&amp;12&amp;A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1"/>
  <sheetViews>
    <sheetView zoomScale="90" zoomScaleNormal="90" workbookViewId="0">
      <selection activeCell="L5" sqref="L5"/>
    </sheetView>
  </sheetViews>
  <sheetFormatPr defaultColWidth="8.7109375" defaultRowHeight="12.75"/>
  <cols>
    <col min="1" max="1" width="43.42578125" style="698" customWidth="1"/>
    <col min="2" max="3" width="12.7109375" style="698" bestFit="1" customWidth="1"/>
    <col min="4" max="4" width="12.42578125" style="698" bestFit="1" customWidth="1"/>
    <col min="5" max="5" width="14.42578125" style="698" bestFit="1" customWidth="1"/>
    <col min="6" max="6" width="3" style="698" bestFit="1" customWidth="1"/>
    <col min="7" max="7" width="14.42578125" style="698" bestFit="1" customWidth="1"/>
    <col min="8" max="8" width="12.7109375" style="698" bestFit="1" customWidth="1"/>
    <col min="9" max="9" width="8.7109375" style="698"/>
    <col min="10" max="12" width="13.42578125" style="698" bestFit="1" customWidth="1"/>
    <col min="13" max="16384" width="8.7109375" style="698"/>
  </cols>
  <sheetData>
    <row r="1" spans="1:12">
      <c r="A1" s="698" t="s">
        <v>443</v>
      </c>
    </row>
    <row r="2" spans="1:12">
      <c r="A2" s="698" t="s">
        <v>444</v>
      </c>
    </row>
    <row r="4" spans="1:12" ht="18.75">
      <c r="A4" s="568"/>
      <c r="B4" s="569" t="s">
        <v>54</v>
      </c>
      <c r="C4" s="569" t="s">
        <v>54</v>
      </c>
      <c r="D4" s="545" t="s">
        <v>1</v>
      </c>
      <c r="E4" s="545" t="s">
        <v>2</v>
      </c>
      <c r="F4" s="570"/>
      <c r="G4" s="569" t="s">
        <v>376</v>
      </c>
      <c r="H4" s="545" t="s">
        <v>1</v>
      </c>
      <c r="K4" s="698" t="s">
        <v>541</v>
      </c>
      <c r="L4" s="792" t="s">
        <v>541</v>
      </c>
    </row>
    <row r="5" spans="1:12" ht="18.75">
      <c r="A5" s="568"/>
      <c r="B5" s="569"/>
      <c r="C5" s="569"/>
      <c r="D5" s="545" t="s">
        <v>3</v>
      </c>
      <c r="E5" s="545" t="s">
        <v>56</v>
      </c>
      <c r="F5" s="570"/>
      <c r="G5" s="569" t="s">
        <v>56</v>
      </c>
      <c r="H5" s="545" t="s">
        <v>56</v>
      </c>
    </row>
    <row r="6" spans="1:12" ht="18.75">
      <c r="A6" s="568"/>
      <c r="B6" s="548" t="s">
        <v>329</v>
      </c>
      <c r="C6" s="548" t="s">
        <v>330</v>
      </c>
      <c r="D6" s="548" t="s">
        <v>366</v>
      </c>
      <c r="E6" s="548" t="s">
        <v>472</v>
      </c>
      <c r="F6" s="571"/>
      <c r="G6" s="548" t="str">
        <f>E6</f>
        <v>2021-22</v>
      </c>
      <c r="H6" s="548" t="str">
        <f>G6</f>
        <v>2021-22</v>
      </c>
      <c r="J6" s="1000" t="s">
        <v>552</v>
      </c>
      <c r="K6" s="1000" t="s">
        <v>553</v>
      </c>
      <c r="L6" s="1000" t="s">
        <v>551</v>
      </c>
    </row>
    <row r="7" spans="1:12" ht="18.75">
      <c r="A7" s="421" t="s">
        <v>403</v>
      </c>
      <c r="B7" s="802"/>
      <c r="C7" s="802"/>
      <c r="D7" s="802"/>
      <c r="E7" s="811"/>
      <c r="F7" s="755"/>
      <c r="G7" s="802"/>
      <c r="H7" s="811"/>
    </row>
    <row r="8" spans="1:12" ht="18">
      <c r="A8" s="806" t="s">
        <v>6</v>
      </c>
      <c r="B8" s="802">
        <f>'Combined GF Revenues'!E10+Street!E10+Water!E10+Wastewater!E10+'Storm Drain'!E10+Reserve!E11+SDC!E17</f>
        <v>1571449.1479665097</v>
      </c>
      <c r="C8" s="802">
        <f>'Combined GF Revenues'!F10+Street!F10+Water!F10+Wastewater!F10+'Storm Drain'!F10+Reserve!F11+SDC!F17</f>
        <v>2387346.1479665097</v>
      </c>
      <c r="D8" s="802">
        <f>'Combined GF Revenues'!G10+Street!G10+Water!G10+Wastewater!G10+'Storm Drain'!G10+Reserve!G11+SDC!G17</f>
        <v>2951517.1479665097</v>
      </c>
      <c r="E8" s="802">
        <f>'Combined GF Revenues'!H10+Street!H10+Water!H10+Wastewater!H10+'Storm Drain'!H10+Reserve!H11+SDC!H17</f>
        <v>3460252.1479665097</v>
      </c>
      <c r="F8" s="755"/>
      <c r="G8" s="811">
        <f>IF($K$4="Yes",E8,0)</f>
        <v>3460252.1479665097</v>
      </c>
      <c r="H8" s="811">
        <f>IF($L$4="Yes",G8,0)</f>
        <v>3460252.1479665097</v>
      </c>
      <c r="J8" s="1006">
        <f>G8</f>
        <v>3460252.1479665097</v>
      </c>
      <c r="K8" s="1006">
        <f>D8</f>
        <v>2951517.1479665097</v>
      </c>
      <c r="L8" s="1006">
        <f>C8</f>
        <v>2387346.1479665097</v>
      </c>
    </row>
    <row r="9" spans="1:12" ht="18">
      <c r="A9" s="806" t="s">
        <v>225</v>
      </c>
      <c r="B9" s="802">
        <f>'Combined GF Revenues'!E11</f>
        <v>0</v>
      </c>
      <c r="C9" s="802">
        <f>'Combined GF Revenues'!F11</f>
        <v>0</v>
      </c>
      <c r="D9" s="802">
        <f>'Combined GF Revenues'!G11</f>
        <v>1500</v>
      </c>
      <c r="E9" s="802">
        <f>'Combined GF Revenues'!H11</f>
        <v>1500</v>
      </c>
      <c r="F9" s="755"/>
      <c r="G9" s="811">
        <f t="shared" ref="G9:G42" si="0">IF($K$4="Yes",E9,0)</f>
        <v>1500</v>
      </c>
      <c r="H9" s="802">
        <f t="shared" ref="H9:H42" si="1">IF($L$4="Yes",G9,0)</f>
        <v>1500</v>
      </c>
      <c r="I9" s="698" t="s">
        <v>546</v>
      </c>
    </row>
    <row r="10" spans="1:12" ht="18">
      <c r="A10" s="806" t="s">
        <v>375</v>
      </c>
      <c r="B10" s="802">
        <v>0</v>
      </c>
      <c r="C10" s="802">
        <f>'Combined GF Revenues'!F12</f>
        <v>0</v>
      </c>
      <c r="D10" s="802">
        <f>'Combined GF Revenues'!G12</f>
        <v>0</v>
      </c>
      <c r="E10" s="802">
        <f>'Combined GF Revenues'!H12</f>
        <v>0</v>
      </c>
      <c r="F10" s="755">
        <v>1</v>
      </c>
      <c r="G10" s="811">
        <f t="shared" si="0"/>
        <v>0</v>
      </c>
      <c r="H10" s="802">
        <f t="shared" si="1"/>
        <v>0</v>
      </c>
      <c r="I10" s="698" t="s">
        <v>546</v>
      </c>
    </row>
    <row r="11" spans="1:12" ht="18" hidden="1">
      <c r="A11" s="806" t="s">
        <v>310</v>
      </c>
      <c r="B11" s="802">
        <v>0</v>
      </c>
      <c r="C11" s="802">
        <v>0</v>
      </c>
      <c r="D11" s="802">
        <v>0</v>
      </c>
      <c r="E11" s="802">
        <v>0</v>
      </c>
      <c r="F11" s="755">
        <v>1</v>
      </c>
      <c r="G11" s="811">
        <f t="shared" si="0"/>
        <v>0</v>
      </c>
      <c r="H11" s="802">
        <f t="shared" si="1"/>
        <v>0</v>
      </c>
    </row>
    <row r="12" spans="1:12" ht="18" hidden="1">
      <c r="A12" s="806" t="s">
        <v>251</v>
      </c>
      <c r="B12" s="802">
        <v>0</v>
      </c>
      <c r="C12" s="802">
        <v>0</v>
      </c>
      <c r="D12" s="802">
        <v>0</v>
      </c>
      <c r="E12" s="802">
        <v>0</v>
      </c>
      <c r="F12" s="755">
        <v>1</v>
      </c>
      <c r="G12" s="811">
        <f t="shared" si="0"/>
        <v>0</v>
      </c>
      <c r="H12" s="802">
        <f t="shared" si="1"/>
        <v>0</v>
      </c>
    </row>
    <row r="13" spans="1:12" ht="18">
      <c r="A13" s="806" t="s">
        <v>440</v>
      </c>
      <c r="B13" s="802">
        <f>Water!E11+Water!E12+Water!E13+Water!E14+Water!E15+Wastewater!E11+Wastewater!E12+'Storm Drain'!E11</f>
        <v>949027</v>
      </c>
      <c r="C13" s="802">
        <f>Water!F11+Water!F12+Water!F13+Water!F14+Water!F15+Wastewater!F11+Wastewater!F12+'Storm Drain'!F11</f>
        <v>1062485</v>
      </c>
      <c r="D13" s="802">
        <f>Water!G11+Water!G12+Water!G13+Water!G14+Water!G15+Wastewater!G11+Wastewater!G12+'Storm Drain'!G11+'Storm Drain'!G12</f>
        <v>1001500</v>
      </c>
      <c r="E13" s="802">
        <f>Water!H11+Water!H12+Water!H13+Water!H14+Water!H15+Wastewater!H11+Wastewater!H12+'Storm Drain'!H11+'Storm Drain'!H12</f>
        <v>1001500</v>
      </c>
      <c r="F13" s="755"/>
      <c r="G13" s="811">
        <f t="shared" ref="G13" si="2">IF($K$4="Yes",E13,0)</f>
        <v>1001500</v>
      </c>
      <c r="H13" s="802">
        <f t="shared" si="1"/>
        <v>1001500</v>
      </c>
      <c r="I13" s="698" t="s">
        <v>546</v>
      </c>
    </row>
    <row r="14" spans="1:12" ht="18">
      <c r="A14" s="806" t="s">
        <v>43</v>
      </c>
      <c r="B14" s="802">
        <f>'Combined GF Revenues'!E15</f>
        <v>1177</v>
      </c>
      <c r="C14" s="802">
        <f>'Combined GF Revenues'!F15</f>
        <v>985</v>
      </c>
      <c r="D14" s="802">
        <f>'Combined GF Revenues'!G15</f>
        <v>1000</v>
      </c>
      <c r="E14" s="802">
        <f>'Combined GF Revenues'!H15</f>
        <v>1000</v>
      </c>
      <c r="F14" s="755"/>
      <c r="G14" s="811">
        <f t="shared" si="0"/>
        <v>1000</v>
      </c>
      <c r="H14" s="802">
        <f t="shared" si="1"/>
        <v>1000</v>
      </c>
      <c r="I14" s="698" t="s">
        <v>547</v>
      </c>
    </row>
    <row r="15" spans="1:12" ht="15">
      <c r="A15" s="806" t="s">
        <v>7</v>
      </c>
      <c r="B15" s="802">
        <f>'Combined GF Revenues'!E16</f>
        <v>51466</v>
      </c>
      <c r="C15" s="802">
        <f>'Combined GF Revenues'!F16</f>
        <v>76825</v>
      </c>
      <c r="D15" s="802">
        <f>'Combined GF Revenues'!G16</f>
        <v>60000</v>
      </c>
      <c r="E15" s="802">
        <f>'Combined GF Revenues'!H16</f>
        <v>70000</v>
      </c>
      <c r="F15" s="802"/>
      <c r="G15" s="811">
        <f t="shared" si="0"/>
        <v>70000</v>
      </c>
      <c r="H15" s="802">
        <f t="shared" si="1"/>
        <v>70000</v>
      </c>
      <c r="I15" s="698" t="s">
        <v>548</v>
      </c>
    </row>
    <row r="16" spans="1:12" ht="18" hidden="1">
      <c r="A16" s="703" t="s">
        <v>331</v>
      </c>
      <c r="B16" s="802">
        <v>0</v>
      </c>
      <c r="C16" s="802">
        <f>'Combined GF Revenues'!F18</f>
        <v>0</v>
      </c>
      <c r="D16" s="802">
        <f>'Combined GF Revenues'!G18</f>
        <v>0</v>
      </c>
      <c r="E16" s="802">
        <f>'Combined GF Revenues'!H18</f>
        <v>0</v>
      </c>
      <c r="F16" s="755"/>
      <c r="G16" s="811">
        <f t="shared" si="0"/>
        <v>0</v>
      </c>
      <c r="H16" s="802">
        <f t="shared" si="1"/>
        <v>0</v>
      </c>
    </row>
    <row r="17" spans="1:12" ht="18" hidden="1">
      <c r="A17" s="806" t="s">
        <v>8</v>
      </c>
      <c r="B17" s="802">
        <v>0</v>
      </c>
      <c r="C17" s="802">
        <v>0</v>
      </c>
      <c r="D17" s="802">
        <v>0</v>
      </c>
      <c r="E17" s="802">
        <v>0</v>
      </c>
      <c r="F17" s="755"/>
      <c r="G17" s="811">
        <f t="shared" si="0"/>
        <v>0</v>
      </c>
      <c r="H17" s="802">
        <f t="shared" si="1"/>
        <v>0</v>
      </c>
    </row>
    <row r="18" spans="1:12" ht="15">
      <c r="A18" s="806" t="s">
        <v>544</v>
      </c>
      <c r="B18" s="802">
        <f>Water!E19+'Combined GF Revenues'!B17+'Combined GF Revenues'!B18+'Combined GF Revenues'!B19</f>
        <v>0</v>
      </c>
      <c r="C18" s="802">
        <f>Water!F19+'Combined GF Revenues'!C17+'Combined GF Revenues'!C18+'Combined GF Revenues'!C19</f>
        <v>9577</v>
      </c>
      <c r="D18" s="802">
        <v>0</v>
      </c>
      <c r="E18" s="802">
        <f>Water!H19+'Combined GF Revenues'!E17+'Combined GF Revenues'!E18+'Combined GF Revenues'!E19</f>
        <v>9577</v>
      </c>
      <c r="F18" s="802"/>
      <c r="G18" s="811">
        <f t="shared" si="0"/>
        <v>9577</v>
      </c>
      <c r="H18" s="802">
        <f t="shared" si="1"/>
        <v>9577</v>
      </c>
      <c r="I18" s="698" t="s">
        <v>547</v>
      </c>
    </row>
    <row r="19" spans="1:12" ht="18">
      <c r="A19" s="806" t="s">
        <v>10</v>
      </c>
      <c r="B19" s="802">
        <f>'Combined GF Revenues'!E20</f>
        <v>29320</v>
      </c>
      <c r="C19" s="802">
        <f>'Combined GF Revenues'!F20</f>
        <v>19223</v>
      </c>
      <c r="D19" s="802">
        <f>'Combined GF Revenues'!G20</f>
        <v>12000</v>
      </c>
      <c r="E19" s="802">
        <f>'Combined GF Revenues'!H20</f>
        <v>15000</v>
      </c>
      <c r="F19" s="755"/>
      <c r="G19" s="811">
        <f t="shared" si="0"/>
        <v>15000</v>
      </c>
      <c r="H19" s="802">
        <f t="shared" si="1"/>
        <v>15000</v>
      </c>
      <c r="I19" s="698" t="s">
        <v>548</v>
      </c>
    </row>
    <row r="20" spans="1:12" ht="18">
      <c r="A20" s="806" t="s">
        <v>240</v>
      </c>
      <c r="B20" s="802">
        <f>'Combined GF Revenues'!E21</f>
        <v>24236</v>
      </c>
      <c r="C20" s="802">
        <f>'Combined GF Revenues'!F21</f>
        <v>120364</v>
      </c>
      <c r="D20" s="802">
        <f>'Combined GF Revenues'!G21</f>
        <v>32000</v>
      </c>
      <c r="E20" s="802">
        <f>'Combined GF Revenues'!H21</f>
        <v>32000</v>
      </c>
      <c r="F20" s="755">
        <v>2</v>
      </c>
      <c r="G20" s="811">
        <f t="shared" si="0"/>
        <v>32000</v>
      </c>
      <c r="H20" s="802">
        <f t="shared" si="1"/>
        <v>32000</v>
      </c>
      <c r="I20" s="698" t="s">
        <v>548</v>
      </c>
    </row>
    <row r="21" spans="1:12" ht="18">
      <c r="A21" s="806" t="s">
        <v>241</v>
      </c>
      <c r="B21" s="802">
        <v>0</v>
      </c>
      <c r="C21" s="802">
        <f>'Combined GF Revenues'!F22</f>
        <v>0</v>
      </c>
      <c r="D21" s="802">
        <f>'Combined GF Revenues'!G22</f>
        <v>78000</v>
      </c>
      <c r="E21" s="802">
        <f>'Combined GF Revenues'!H22</f>
        <v>78000</v>
      </c>
      <c r="F21" s="755">
        <v>3</v>
      </c>
      <c r="G21" s="811">
        <f t="shared" si="0"/>
        <v>78000</v>
      </c>
      <c r="H21" s="802">
        <f t="shared" si="1"/>
        <v>78000</v>
      </c>
      <c r="I21" s="698" t="s">
        <v>548</v>
      </c>
    </row>
    <row r="22" spans="1:12" ht="18">
      <c r="A22" s="806" t="s">
        <v>242</v>
      </c>
      <c r="B22" s="802">
        <v>0</v>
      </c>
      <c r="C22" s="802">
        <f>'Combined GF Revenues'!F23</f>
        <v>0</v>
      </c>
      <c r="D22" s="802">
        <f>'Combined GF Revenues'!G23</f>
        <v>4900</v>
      </c>
      <c r="E22" s="802">
        <f>'Combined GF Revenues'!H23</f>
        <v>4900</v>
      </c>
      <c r="F22" s="755">
        <v>4</v>
      </c>
      <c r="G22" s="811">
        <f t="shared" si="0"/>
        <v>4900</v>
      </c>
      <c r="H22" s="802">
        <f t="shared" si="1"/>
        <v>4900</v>
      </c>
      <c r="I22" s="698" t="s">
        <v>548</v>
      </c>
    </row>
    <row r="23" spans="1:12" ht="18">
      <c r="A23" s="806" t="s">
        <v>356</v>
      </c>
      <c r="B23" s="802">
        <v>0</v>
      </c>
      <c r="C23" s="802">
        <f>'Combined GF Revenues'!F24</f>
        <v>0</v>
      </c>
      <c r="D23" s="802">
        <f>'Combined GF Revenues'!G24</f>
        <v>14000</v>
      </c>
      <c r="E23" s="802">
        <f>'Combined GF Revenues'!H24</f>
        <v>14000</v>
      </c>
      <c r="F23" s="755">
        <v>5</v>
      </c>
      <c r="G23" s="811">
        <f t="shared" si="0"/>
        <v>14000</v>
      </c>
      <c r="H23" s="802">
        <f t="shared" si="1"/>
        <v>14000</v>
      </c>
      <c r="I23" s="698" t="s">
        <v>548</v>
      </c>
    </row>
    <row r="24" spans="1:12" ht="15">
      <c r="A24" s="806" t="s">
        <v>11</v>
      </c>
      <c r="B24" s="802">
        <f>'Combined GF Revenues'!E25</f>
        <v>17064</v>
      </c>
      <c r="C24" s="802">
        <f>'Combined GF Revenues'!F25</f>
        <v>24833</v>
      </c>
      <c r="D24" s="802">
        <f>'Combined GF Revenues'!G25</f>
        <v>22400</v>
      </c>
      <c r="E24" s="802">
        <f>'Combined GF Revenues'!H25</f>
        <v>25000</v>
      </c>
      <c r="F24" s="802"/>
      <c r="G24" s="811">
        <f t="shared" si="0"/>
        <v>25000</v>
      </c>
      <c r="H24" s="802">
        <f t="shared" si="1"/>
        <v>25000</v>
      </c>
      <c r="I24" s="698" t="s">
        <v>547</v>
      </c>
    </row>
    <row r="25" spans="1:12" ht="15">
      <c r="A25" s="806" t="s">
        <v>12</v>
      </c>
      <c r="B25" s="802">
        <f>'Combined GF Revenues'!E26+Street!E13+Water!E16+Wastewater!E16+'Storm Drain'!E13</f>
        <v>1738</v>
      </c>
      <c r="C25" s="802">
        <f>'Combined GF Revenues'!F26+Street!F13+Water!F16+Wastewater!F16+'Storm Drain'!F13</f>
        <v>6792</v>
      </c>
      <c r="D25" s="802">
        <f>'Combined GF Revenues'!G26+Street!G13+Water!G16+Wastewater!G16+'Storm Drain'!G13</f>
        <v>6400</v>
      </c>
      <c r="E25" s="802">
        <f>'Combined GF Revenues'!H26+Street!H13+Water!H16+Wastewater!H16+'Storm Drain'!H13</f>
        <v>3400</v>
      </c>
      <c r="F25" s="802"/>
      <c r="G25" s="811">
        <f t="shared" si="0"/>
        <v>3400</v>
      </c>
      <c r="H25" s="802">
        <f t="shared" si="1"/>
        <v>3400</v>
      </c>
      <c r="I25" s="698" t="s">
        <v>548</v>
      </c>
    </row>
    <row r="26" spans="1:12" ht="15">
      <c r="A26" s="806" t="s">
        <v>257</v>
      </c>
      <c r="B26" s="802">
        <f>Wastewater!E19</f>
        <v>0</v>
      </c>
      <c r="C26" s="802">
        <f>Wastewater!F19</f>
        <v>0</v>
      </c>
      <c r="D26" s="802">
        <f>Wastewater!G19</f>
        <v>0</v>
      </c>
      <c r="E26" s="802">
        <f>Wastewater!H19</f>
        <v>0</v>
      </c>
      <c r="F26" s="802"/>
      <c r="G26" s="811">
        <f t="shared" ref="G26" si="3">IF($K$4="Yes",E26,0)</f>
        <v>0</v>
      </c>
      <c r="H26" s="802">
        <f t="shared" si="1"/>
        <v>0</v>
      </c>
      <c r="I26" s="698" t="s">
        <v>548</v>
      </c>
    </row>
    <row r="27" spans="1:12" ht="18">
      <c r="A27" s="806" t="s">
        <v>13</v>
      </c>
      <c r="B27" s="802">
        <f>'Combined GF Revenues'!E28</f>
        <v>550</v>
      </c>
      <c r="C27" s="802">
        <f>'Combined GF Revenues'!F28</f>
        <v>7659</v>
      </c>
      <c r="D27" s="802">
        <f>'Combined GF Revenues'!G28</f>
        <v>10000</v>
      </c>
      <c r="E27" s="802">
        <f>'Combined GF Revenues'!H28</f>
        <v>10000</v>
      </c>
      <c r="F27" s="756"/>
      <c r="G27" s="811">
        <f t="shared" si="0"/>
        <v>10000</v>
      </c>
      <c r="H27" s="802">
        <f t="shared" si="1"/>
        <v>10000</v>
      </c>
      <c r="I27" s="698" t="s">
        <v>546</v>
      </c>
    </row>
    <row r="28" spans="1:12" ht="18">
      <c r="A28" s="806" t="s">
        <v>14</v>
      </c>
      <c r="B28" s="802">
        <f>'Combined GF Revenues'!E29</f>
        <v>137952</v>
      </c>
      <c r="C28" s="802">
        <f>'Combined GF Revenues'!F29</f>
        <v>183825</v>
      </c>
      <c r="D28" s="802">
        <f>'Combined GF Revenues'!G29</f>
        <v>185000</v>
      </c>
      <c r="E28" s="802">
        <f>'Combined GF Revenues'!H29</f>
        <v>185000</v>
      </c>
      <c r="F28" s="755"/>
      <c r="G28" s="811">
        <f t="shared" si="0"/>
        <v>185000</v>
      </c>
      <c r="H28" s="802">
        <f t="shared" si="1"/>
        <v>185000</v>
      </c>
      <c r="I28" s="698" t="s">
        <v>545</v>
      </c>
    </row>
    <row r="29" spans="1:12" ht="18">
      <c r="A29" s="806" t="s">
        <v>15</v>
      </c>
      <c r="B29" s="802">
        <f>'Combined GF Revenues'!E30</f>
        <v>783</v>
      </c>
      <c r="C29" s="802">
        <f>'Combined GF Revenues'!F30</f>
        <v>0</v>
      </c>
      <c r="D29" s="802">
        <f>'Combined GF Revenues'!G30</f>
        <v>500</v>
      </c>
      <c r="E29" s="802">
        <f>'Combined GF Revenues'!H30</f>
        <v>500</v>
      </c>
      <c r="F29" s="755"/>
      <c r="G29" s="811">
        <f t="shared" si="0"/>
        <v>500</v>
      </c>
      <c r="H29" s="802">
        <f t="shared" si="1"/>
        <v>500</v>
      </c>
      <c r="I29" s="698" t="s">
        <v>545</v>
      </c>
      <c r="J29" s="1006">
        <f>G28+G29</f>
        <v>185500</v>
      </c>
      <c r="K29" s="1006">
        <f>D28+D29</f>
        <v>185500</v>
      </c>
      <c r="L29" s="1006">
        <f>C28+C29</f>
        <v>183825</v>
      </c>
    </row>
    <row r="30" spans="1:12" ht="18">
      <c r="A30" s="806" t="s">
        <v>45</v>
      </c>
      <c r="B30" s="802">
        <f>'Combined GF Revenues'!E31+Water!E17</f>
        <v>7019</v>
      </c>
      <c r="C30" s="802">
        <f>'Combined GF Revenues'!F31+Water!F17</f>
        <v>13563</v>
      </c>
      <c r="D30" s="802">
        <f>'Combined GF Revenues'!G31+Water!G17</f>
        <v>700</v>
      </c>
      <c r="E30" s="802">
        <f>'Combined GF Revenues'!H31+Water!H17</f>
        <v>700</v>
      </c>
      <c r="F30" s="755"/>
      <c r="G30" s="811">
        <f t="shared" si="0"/>
        <v>700</v>
      </c>
      <c r="H30" s="802">
        <f t="shared" si="1"/>
        <v>700</v>
      </c>
      <c r="I30" s="698" t="s">
        <v>548</v>
      </c>
    </row>
    <row r="31" spans="1:12" ht="18">
      <c r="A31" s="806" t="s">
        <v>492</v>
      </c>
      <c r="B31" s="802">
        <f>'Combined GF Revenues'!E33</f>
        <v>11619</v>
      </c>
      <c r="C31" s="802">
        <f>'Combined GF Revenues'!F33</f>
        <v>37012</v>
      </c>
      <c r="D31" s="802">
        <f>'Combined GF Revenues'!G33</f>
        <v>22800</v>
      </c>
      <c r="E31" s="802">
        <f>'Combined GF Revenues'!H33</f>
        <v>22800</v>
      </c>
      <c r="F31" s="755"/>
      <c r="G31" s="811">
        <f t="shared" ref="G31" si="4">IF($K$4="Yes",E31,0)</f>
        <v>22800</v>
      </c>
      <c r="H31" s="802">
        <f t="shared" ref="H31" si="5">IF($L$4="Yes",G31,0)</f>
        <v>22800</v>
      </c>
      <c r="I31" s="698" t="s">
        <v>548</v>
      </c>
    </row>
    <row r="32" spans="1:12" ht="18">
      <c r="A32" s="806" t="s">
        <v>16</v>
      </c>
      <c r="B32" s="802">
        <f>'Combined GF Revenues'!E34</f>
        <v>9213</v>
      </c>
      <c r="C32" s="802">
        <f>'Combined GF Revenues'!F34</f>
        <v>11308</v>
      </c>
      <c r="D32" s="802">
        <f>'Combined GF Revenues'!G34</f>
        <v>10500</v>
      </c>
      <c r="E32" s="802">
        <f>'Combined GF Revenues'!H34</f>
        <v>10500</v>
      </c>
      <c r="F32" s="755"/>
      <c r="G32" s="811">
        <f t="shared" si="0"/>
        <v>10500</v>
      </c>
      <c r="H32" s="802">
        <f t="shared" si="1"/>
        <v>10500</v>
      </c>
      <c r="I32" s="698" t="s">
        <v>547</v>
      </c>
    </row>
    <row r="33" spans="1:12" ht="18">
      <c r="A33" s="806" t="s">
        <v>239</v>
      </c>
      <c r="B33" s="802">
        <f>'Combined GF Revenues'!E35</f>
        <v>0</v>
      </c>
      <c r="C33" s="802">
        <f>'Combined GF Revenues'!F35</f>
        <v>0</v>
      </c>
      <c r="D33" s="802">
        <f>'Combined GF Revenues'!G35</f>
        <v>120</v>
      </c>
      <c r="E33" s="802">
        <f>'Combined GF Revenues'!H35</f>
        <v>120</v>
      </c>
      <c r="F33" s="755"/>
      <c r="G33" s="811">
        <f t="shared" si="0"/>
        <v>120</v>
      </c>
      <c r="H33" s="802">
        <f t="shared" si="1"/>
        <v>120</v>
      </c>
      <c r="I33" s="698" t="s">
        <v>548</v>
      </c>
    </row>
    <row r="34" spans="1:12" ht="18">
      <c r="A34" s="806" t="s">
        <v>312</v>
      </c>
      <c r="B34" s="802">
        <v>0</v>
      </c>
      <c r="C34" s="802">
        <v>0</v>
      </c>
      <c r="D34" s="802">
        <v>0</v>
      </c>
      <c r="E34" s="802">
        <v>0</v>
      </c>
      <c r="F34" s="755"/>
      <c r="G34" s="811">
        <f t="shared" si="0"/>
        <v>0</v>
      </c>
      <c r="H34" s="802">
        <f t="shared" si="1"/>
        <v>0</v>
      </c>
      <c r="I34" s="698" t="s">
        <v>548</v>
      </c>
      <c r="J34" s="1006">
        <f>G15+G19+G20+G21+G22+G23+G25+G26+G30+G31+G33+G34</f>
        <v>240920</v>
      </c>
      <c r="K34" s="1006">
        <f>D15+D19+D20+D21+D22+D23+D25+D26+D30+D31+D33+D34</f>
        <v>230920</v>
      </c>
      <c r="L34" s="1006">
        <f>C15+C19+C20+C21+C22+C23+C25+C26+C30+C31+C33+C34</f>
        <v>273779</v>
      </c>
    </row>
    <row r="35" spans="1:12" ht="18">
      <c r="A35" s="806" t="s">
        <v>514</v>
      </c>
      <c r="B35" s="802">
        <f>'Combined GF Revenues'!E38</f>
        <v>82698</v>
      </c>
      <c r="C35" s="802">
        <f>'Combined GF Revenues'!F38</f>
        <v>52822</v>
      </c>
      <c r="D35" s="802">
        <f>'Combined GF Revenues'!G38</f>
        <v>15000</v>
      </c>
      <c r="E35" s="802">
        <f>'Combined GF Revenues'!H38</f>
        <v>15000</v>
      </c>
      <c r="F35" s="755"/>
      <c r="G35" s="811">
        <f t="shared" ref="G35" si="6">IF($K$4="Yes",E35,0)</f>
        <v>15000</v>
      </c>
      <c r="H35" s="802">
        <f t="shared" ref="H35" si="7">IF($L$4="Yes",G35,0)</f>
        <v>15000</v>
      </c>
      <c r="I35" s="698" t="s">
        <v>546</v>
      </c>
    </row>
    <row r="36" spans="1:12" ht="18">
      <c r="A36" s="806" t="s">
        <v>543</v>
      </c>
      <c r="B36" s="802">
        <f>Street!E12</f>
        <v>0</v>
      </c>
      <c r="C36" s="802">
        <f>Street!F12</f>
        <v>0</v>
      </c>
      <c r="D36" s="802">
        <f>Street!G12</f>
        <v>98700</v>
      </c>
      <c r="E36" s="802">
        <f>Street!H12</f>
        <v>98700</v>
      </c>
      <c r="F36" s="755"/>
      <c r="G36" s="811">
        <f t="shared" ref="G36" si="8">IF($K$4="Yes",E36,0)</f>
        <v>98700</v>
      </c>
      <c r="H36" s="802">
        <f t="shared" ref="H36" si="9">IF($L$4="Yes",G36,0)</f>
        <v>98700</v>
      </c>
      <c r="I36" s="698" t="s">
        <v>547</v>
      </c>
    </row>
    <row r="37" spans="1:12" ht="18">
      <c r="A37" s="806" t="s">
        <v>439</v>
      </c>
      <c r="B37" s="802">
        <f>Street!E11</f>
        <v>60842</v>
      </c>
      <c r="C37" s="802">
        <f>Street!F11</f>
        <v>86229</v>
      </c>
      <c r="D37" s="802">
        <f>Street!G11</f>
        <v>62000</v>
      </c>
      <c r="E37" s="802">
        <f>Street!H11</f>
        <v>62000</v>
      </c>
      <c r="F37" s="755"/>
      <c r="G37" s="811">
        <f t="shared" ref="G37" si="10">IF($K$4="Yes",E37,0)</f>
        <v>62000</v>
      </c>
      <c r="H37" s="802">
        <f t="shared" si="1"/>
        <v>62000</v>
      </c>
      <c r="I37" s="698" t="s">
        <v>547</v>
      </c>
      <c r="J37" s="1006"/>
      <c r="K37" s="1006"/>
      <c r="L37" s="1006"/>
    </row>
    <row r="38" spans="1:12" ht="18">
      <c r="A38" s="806" t="s">
        <v>442</v>
      </c>
      <c r="B38" s="802">
        <f>SDC!E28</f>
        <v>1164148</v>
      </c>
      <c r="C38" s="802">
        <f>SDC!F28</f>
        <v>1100181</v>
      </c>
      <c r="D38" s="802">
        <f>SDC!G28</f>
        <v>59537.8</v>
      </c>
      <c r="E38" s="802">
        <f>SDC!H28</f>
        <v>59537.8</v>
      </c>
      <c r="F38" s="755"/>
      <c r="G38" s="811">
        <f t="shared" ref="G38" si="11">IF($K$4="Yes",E38,0)</f>
        <v>59537.8</v>
      </c>
      <c r="H38" s="802">
        <f t="shared" si="1"/>
        <v>59537.8</v>
      </c>
      <c r="I38" s="698" t="s">
        <v>546</v>
      </c>
    </row>
    <row r="39" spans="1:12" ht="18">
      <c r="A39" s="806" t="s">
        <v>493</v>
      </c>
      <c r="B39" s="802">
        <f>'Combined GF Revenues'!E39+Wastewater!E15</f>
        <v>32720</v>
      </c>
      <c r="C39" s="802">
        <f>'Combined GF Revenues'!F39+Wastewater!F15</f>
        <v>130351</v>
      </c>
      <c r="D39" s="802">
        <f>'Combined GF Revenues'!G39+Wastewater!G15</f>
        <v>119100</v>
      </c>
      <c r="E39" s="802">
        <f>'Combined GF Revenues'!H39+Wastewater!H15</f>
        <v>119100</v>
      </c>
      <c r="F39" s="755"/>
      <c r="G39" s="811">
        <f t="shared" ref="G39" si="12">IF($K$4="Yes",E39,0)</f>
        <v>119100</v>
      </c>
      <c r="H39" s="802">
        <f t="shared" ref="H39" si="13">IF($L$4="Yes",G39,0)</f>
        <v>119100</v>
      </c>
      <c r="I39" s="698" t="s">
        <v>546</v>
      </c>
      <c r="J39" s="1006">
        <f>G9+G10+G13+G27+G35+G38+G39</f>
        <v>1206637.8</v>
      </c>
      <c r="K39" s="1006">
        <f>D9+D10+D13+D27+D35+D38+D39</f>
        <v>1206637.8</v>
      </c>
      <c r="L39" s="1006">
        <f>C9+C10+C13+C27+C35+C38+C39</f>
        <v>2353498</v>
      </c>
    </row>
    <row r="40" spans="1:12" ht="18">
      <c r="A40" s="806" t="s">
        <v>513</v>
      </c>
      <c r="B40" s="802">
        <f>'Combined GF Revenues'!E40</f>
        <v>5000</v>
      </c>
      <c r="C40" s="802">
        <f>'Combined GF Revenues'!F40</f>
        <v>5000</v>
      </c>
      <c r="D40" s="802">
        <f>'Combined GF Revenues'!G40</f>
        <v>500</v>
      </c>
      <c r="E40" s="802">
        <f>'Combined GF Revenues'!H40</f>
        <v>500</v>
      </c>
      <c r="F40" s="755"/>
      <c r="G40" s="811">
        <f t="shared" ref="G40" si="14">IF($K$4="Yes",E40,0)</f>
        <v>500</v>
      </c>
      <c r="H40" s="802">
        <f t="shared" ref="H40" si="15">IF($L$4="Yes",G40,0)</f>
        <v>500</v>
      </c>
      <c r="I40" s="862" t="s">
        <v>547</v>
      </c>
      <c r="J40" s="1006">
        <f>G14+G18+G24+G32+G36+G37+G40</f>
        <v>207277</v>
      </c>
      <c r="K40" s="1006">
        <f>D14+D18+D24+D32+D36+D37+D40</f>
        <v>195100</v>
      </c>
      <c r="L40" s="1006">
        <f>C14+C18+C24+C32+C36+C37+C40</f>
        <v>137932</v>
      </c>
    </row>
    <row r="41" spans="1:12" ht="18">
      <c r="A41" s="806" t="s">
        <v>418</v>
      </c>
      <c r="B41" s="802">
        <f>'Combined GF Revenues'!E37+Water!E18+Wastewater!E18</f>
        <v>150456</v>
      </c>
      <c r="C41" s="802">
        <f>'Combined GF Revenues'!F37+Water!F18+Wastewater!F18</f>
        <v>85075</v>
      </c>
      <c r="D41" s="802">
        <f>'Combined GF Revenues'!G37+Water!G18+Wastewater!G18</f>
        <v>3146000</v>
      </c>
      <c r="E41" s="802">
        <f>'Combined GF Revenues'!H37+Water!H18+Wastewater!H18</f>
        <v>3846000</v>
      </c>
      <c r="F41" s="755"/>
      <c r="G41" s="811">
        <f t="shared" si="0"/>
        <v>3846000</v>
      </c>
      <c r="H41" s="802">
        <f t="shared" si="1"/>
        <v>3846000</v>
      </c>
      <c r="I41" s="698" t="s">
        <v>549</v>
      </c>
      <c r="J41" s="1006">
        <f>G41</f>
        <v>3846000</v>
      </c>
      <c r="K41" s="1006">
        <f>D41</f>
        <v>3146000</v>
      </c>
      <c r="L41" s="1006">
        <f>C41</f>
        <v>85075</v>
      </c>
    </row>
    <row r="42" spans="1:12" ht="15.75" thickBot="1">
      <c r="A42" s="806" t="s">
        <v>441</v>
      </c>
      <c r="B42" s="812">
        <f>'Combined GF Revenues'!E43+Wastewater!E20+Reserve!E15+Reserve!E16+Reserve!E17+Reserve!E18+Reserve!E19</f>
        <v>17209</v>
      </c>
      <c r="C42" s="812">
        <f>'Combined GF Revenues'!F41+'Combined GF Revenues'!F42+Water!F20+Water!F21+Wastewater!F20+Reserve!F15+Reserve!F16+Reserve!F17+Reserve!F18+Reserve!F19</f>
        <v>8800</v>
      </c>
      <c r="D42" s="812">
        <f>'Combined GF Revenues'!G43+Wastewater!G20+Reserve!G15+Reserve!G16+Reserve!G17+Reserve!G18+Reserve!G19+Water!G21+SDC!H31</f>
        <v>316807</v>
      </c>
      <c r="E42" s="812">
        <f>'Combined GF Revenues'!H43+Water!H21+Wastewater!H20+Reserve!H15+Reserve!H16+Reserve!H17+Reserve!H18+Reserve!H19+SDC!H31</f>
        <v>317407</v>
      </c>
      <c r="F42" s="812"/>
      <c r="G42" s="615">
        <f t="shared" si="0"/>
        <v>317407</v>
      </c>
      <c r="H42" s="615">
        <f t="shared" si="1"/>
        <v>317407</v>
      </c>
      <c r="I42" s="698" t="s">
        <v>550</v>
      </c>
      <c r="J42" s="1006">
        <f>G42</f>
        <v>317407</v>
      </c>
      <c r="K42" s="1006">
        <f>D42</f>
        <v>316807</v>
      </c>
      <c r="L42" s="1006">
        <f>C42</f>
        <v>8800</v>
      </c>
    </row>
    <row r="43" spans="1:12" ht="16.5" thickTop="1">
      <c r="A43" s="421" t="s">
        <v>404</v>
      </c>
      <c r="B43" s="804">
        <f>SUM(B8:B42)</f>
        <v>4325686.1479665097</v>
      </c>
      <c r="C43" s="804">
        <f>SUM(C8:C42)</f>
        <v>5430255.1479665097</v>
      </c>
      <c r="D43" s="804">
        <f>SUM(D8:D42)</f>
        <v>8232481.9479665095</v>
      </c>
      <c r="E43" s="804">
        <f>SUM(E8:E42)</f>
        <v>9463993.9479665086</v>
      </c>
      <c r="F43" s="802"/>
      <c r="G43" s="804">
        <f t="shared" ref="G43:H43" si="16">SUM(G8:G42)</f>
        <v>9463993.9479665086</v>
      </c>
      <c r="H43" s="804">
        <f t="shared" si="16"/>
        <v>9463993.9479665086</v>
      </c>
      <c r="J43" s="1007">
        <f>SUM(J8:J42)</f>
        <v>9463993.9479665086</v>
      </c>
      <c r="K43" s="1007">
        <f>SUM(K8:K42)</f>
        <v>8232481.9479665095</v>
      </c>
      <c r="L43" s="1007">
        <f>SUM(L8:L42)</f>
        <v>5430255.1479665097</v>
      </c>
    </row>
    <row r="44" spans="1:12" ht="18">
      <c r="A44" s="806" t="s">
        <v>429</v>
      </c>
      <c r="B44" s="802">
        <f>SUM(B43-B8)</f>
        <v>2754237</v>
      </c>
      <c r="C44" s="802">
        <f>SUM(C43-C8)</f>
        <v>3042909</v>
      </c>
      <c r="D44" s="802">
        <f>SUM(D43-D8)</f>
        <v>5280964.8</v>
      </c>
      <c r="E44" s="802">
        <f>SUM(E43-E8)</f>
        <v>6003741.7999999989</v>
      </c>
      <c r="F44" s="756"/>
      <c r="G44" s="802">
        <f>SUM(G43-G8)</f>
        <v>6003741.7999999989</v>
      </c>
      <c r="H44" s="802">
        <f>SUM(H43-H8)</f>
        <v>6003741.7999999989</v>
      </c>
      <c r="L44" s="935">
        <v>5153376</v>
      </c>
    </row>
    <row r="45" spans="1:12">
      <c r="L45" s="1006">
        <f>L43-L44</f>
        <v>276879.14796650968</v>
      </c>
    </row>
    <row r="46" spans="1:12">
      <c r="B46" s="935">
        <f>'Combined GF Revenues'!E44+Street!E15+Water!E22+Wastewater!E21+SDC!E33+'Storm Drain'!E15+Reserve!E21</f>
        <v>5171522.1479665097</v>
      </c>
      <c r="C46" s="935">
        <f>'Combined GF Revenues'!F44+Street!F15+Water!F22+Wastewater!F21+SDC!F33+'Storm Drain'!F15+Reserve!F21</f>
        <v>5533558.1479665097</v>
      </c>
      <c r="D46" s="935">
        <f>'Combined GF Revenues'!G44+Street!G15+Water!G22+Wastewater!G21+SDC!G33+'Storm Drain'!G15+Reserve!G21</f>
        <v>8242058.9479665095</v>
      </c>
      <c r="E46" s="935">
        <f>'Combined GF Revenues'!H44+Street!H15+Water!H22+Wastewater!H21+SDC!H33+'Storm Drain'!H15+Reserve!H21</f>
        <v>9463993.9479665086</v>
      </c>
      <c r="G46" s="935">
        <f>'Combined GF Revenues'!J44+Street!J15+Water!J22+Wastewater!J21+SDC!J33+'Storm Drain'!J15+Reserve!J21</f>
        <v>0</v>
      </c>
      <c r="H46" s="935">
        <f>'Combined GF Revenues'!K44+Street!K15+Water!K22+Wastewater!K21+SDC!K33+'Storm Drain'!K15+Reserve!K21</f>
        <v>0</v>
      </c>
    </row>
    <row r="47" spans="1:12">
      <c r="L47" s="1006">
        <f>L44-5157124</f>
        <v>-3748</v>
      </c>
    </row>
    <row r="48" spans="1:12">
      <c r="B48" s="1006"/>
      <c r="C48" s="1006"/>
      <c r="D48" s="1006"/>
      <c r="E48" s="1006"/>
      <c r="G48" s="1006"/>
      <c r="H48" s="1006"/>
    </row>
    <row r="49" spans="1:7" ht="15.75">
      <c r="A49" s="1096" t="s">
        <v>460</v>
      </c>
      <c r="B49" s="1097"/>
      <c r="C49" s="1006">
        <f>C8</f>
        <v>2387346.1479665097</v>
      </c>
      <c r="D49" s="1006">
        <f t="shared" ref="D49:E49" si="17">D8</f>
        <v>2951517.1479665097</v>
      </c>
      <c r="E49" s="1006">
        <f t="shared" si="17"/>
        <v>3460252.1479665097</v>
      </c>
      <c r="G49" s="1006">
        <f>G8</f>
        <v>3460252.1479665097</v>
      </c>
    </row>
    <row r="50" spans="1:7" ht="15.75">
      <c r="A50" s="1098" t="s">
        <v>461</v>
      </c>
      <c r="B50" s="1099"/>
      <c r="C50" s="1006">
        <f>C9+C10+C13+C15+C27+C38</f>
        <v>2247150</v>
      </c>
      <c r="D50" s="1006">
        <f>D9+D10+D13+D15+D27+D38</f>
        <v>1132537.8</v>
      </c>
      <c r="E50" s="1006">
        <f>E9+E10+E13+E15+E27+E38</f>
        <v>1142537.8</v>
      </c>
      <c r="G50" s="1006">
        <f>G9+G10+G13+G15+G27+G38</f>
        <v>1142537.8</v>
      </c>
    </row>
    <row r="51" spans="1:7" ht="15.75">
      <c r="A51" s="1100" t="s">
        <v>462</v>
      </c>
      <c r="B51" s="1101"/>
      <c r="C51" s="1006">
        <f>C14+C16+C18+C24+C32+C37</f>
        <v>132932</v>
      </c>
      <c r="D51" s="1006">
        <f>D14+D16+D18+D24+D32+D37</f>
        <v>95900</v>
      </c>
      <c r="E51" s="1006">
        <f>E14+E16+E18+E24+E32+E37</f>
        <v>108077</v>
      </c>
      <c r="G51" s="1006">
        <f>G14+G16+G18+G24+G32+G37</f>
        <v>108077</v>
      </c>
    </row>
    <row r="52" spans="1:7" ht="15.75">
      <c r="A52" s="1098" t="s">
        <v>463</v>
      </c>
      <c r="B52" s="1099"/>
      <c r="C52" s="1006">
        <f>C41</f>
        <v>85075</v>
      </c>
      <c r="D52" s="1006">
        <f t="shared" ref="D52:E52" si="18">D41</f>
        <v>3146000</v>
      </c>
      <c r="E52" s="1006">
        <f t="shared" si="18"/>
        <v>3846000</v>
      </c>
      <c r="G52" s="1006">
        <f>G41</f>
        <v>3846000</v>
      </c>
    </row>
    <row r="53" spans="1:7" ht="15.75">
      <c r="A53" s="1100" t="s">
        <v>464</v>
      </c>
      <c r="B53" s="1101"/>
      <c r="C53" s="1006">
        <f>C42</f>
        <v>8800</v>
      </c>
      <c r="D53" s="1006">
        <f t="shared" ref="D53:E53" si="19">D42</f>
        <v>316807</v>
      </c>
      <c r="E53" s="1006">
        <f t="shared" si="19"/>
        <v>317407</v>
      </c>
      <c r="G53" s="1006">
        <f>G42</f>
        <v>317407</v>
      </c>
    </row>
    <row r="54" spans="1:7" ht="15.75">
      <c r="A54" s="1098" t="s">
        <v>465</v>
      </c>
      <c r="B54" s="1099"/>
      <c r="C54" s="1006">
        <f>C19+C20+C21+C22+C23+C25+C26+C29+C30+C33+C34</f>
        <v>159942</v>
      </c>
      <c r="D54" s="1006">
        <f>D19+D20+D21+D22+D23+D25+D26+D29+D30+D33+D34</f>
        <v>148620</v>
      </c>
      <c r="E54" s="1006">
        <f>E19+E20+E21+E22+E23+E25+E26+E29+E30+E33+E34</f>
        <v>148620</v>
      </c>
      <c r="G54" s="1006">
        <f>G19+G20+G21+G22+G23+G25+G26+G29+G30+G33+G34</f>
        <v>148620</v>
      </c>
    </row>
    <row r="55" spans="1:7" ht="16.5" thickBot="1">
      <c r="A55" s="1094" t="s">
        <v>466</v>
      </c>
      <c r="B55" s="1095"/>
      <c r="C55" s="1006">
        <f>C28</f>
        <v>183825</v>
      </c>
      <c r="D55" s="1006">
        <f t="shared" ref="D55:E55" si="20">D28</f>
        <v>185000</v>
      </c>
      <c r="E55" s="1006">
        <f t="shared" si="20"/>
        <v>185000</v>
      </c>
      <c r="G55" s="1006">
        <f>G28</f>
        <v>185000</v>
      </c>
    </row>
    <row r="56" spans="1:7" ht="13.5" thickTop="1">
      <c r="C56" s="1006">
        <f>SUM(C49:C55)</f>
        <v>5205070.1479665097</v>
      </c>
      <c r="D56" s="1006">
        <f t="shared" ref="D56:E56" si="21">SUM(D49:D55)</f>
        <v>7976381.9479665095</v>
      </c>
      <c r="E56" s="1006">
        <f t="shared" si="21"/>
        <v>9207893.9479665086</v>
      </c>
      <c r="G56" s="1006">
        <f>SUM(G49:G55)</f>
        <v>9207893.9479665086</v>
      </c>
    </row>
    <row r="58" spans="1:7">
      <c r="C58" s="1006">
        <f>C46-C56</f>
        <v>328488</v>
      </c>
      <c r="D58" s="1006">
        <f t="shared" ref="D58:E58" si="22">D46-D56</f>
        <v>265677</v>
      </c>
      <c r="E58" s="1006">
        <f t="shared" si="22"/>
        <v>256100</v>
      </c>
    </row>
    <row r="60" spans="1:7">
      <c r="B60" s="379" t="s">
        <v>557</v>
      </c>
      <c r="C60" s="379" t="s">
        <v>558</v>
      </c>
      <c r="D60" s="379" t="s">
        <v>559</v>
      </c>
      <c r="E60" s="379" t="s">
        <v>560</v>
      </c>
    </row>
    <row r="61" spans="1:7">
      <c r="A61" s="862" t="s">
        <v>222</v>
      </c>
      <c r="B61" s="935">
        <f>134555+19189+39775+160794</f>
        <v>354313</v>
      </c>
      <c r="C61" s="935">
        <v>772476</v>
      </c>
      <c r="D61" s="935">
        <v>22254</v>
      </c>
      <c r="E61" s="935">
        <v>5000</v>
      </c>
    </row>
    <row r="62" spans="1:7">
      <c r="A62" s="862" t="s">
        <v>53</v>
      </c>
      <c r="B62" s="935">
        <v>62588</v>
      </c>
      <c r="C62" s="935">
        <v>0</v>
      </c>
      <c r="D62" s="935">
        <v>0</v>
      </c>
      <c r="E62" s="935">
        <v>200</v>
      </c>
    </row>
    <row r="63" spans="1:7">
      <c r="A63" s="862" t="s">
        <v>52</v>
      </c>
      <c r="B63" s="935">
        <v>398498</v>
      </c>
      <c r="C63" s="935">
        <v>78074</v>
      </c>
      <c r="D63" s="935">
        <v>0</v>
      </c>
      <c r="E63" s="935">
        <v>153200</v>
      </c>
    </row>
    <row r="64" spans="1:7">
      <c r="A64" s="862" t="s">
        <v>555</v>
      </c>
      <c r="B64" s="935">
        <v>175639</v>
      </c>
      <c r="C64" s="935">
        <v>117115</v>
      </c>
      <c r="D64" s="935">
        <v>2055</v>
      </c>
      <c r="E64" s="935">
        <v>400</v>
      </c>
    </row>
    <row r="65" spans="1:5">
      <c r="A65" s="862" t="s">
        <v>187</v>
      </c>
      <c r="B65" s="935">
        <v>0</v>
      </c>
      <c r="C65" s="935">
        <v>0</v>
      </c>
      <c r="D65" s="935">
        <v>0</v>
      </c>
      <c r="E65" s="935">
        <v>600000</v>
      </c>
    </row>
    <row r="66" spans="1:5">
      <c r="A66" s="862" t="s">
        <v>556</v>
      </c>
      <c r="B66" s="935">
        <v>25747</v>
      </c>
      <c r="C66" s="935">
        <v>0</v>
      </c>
      <c r="D66" s="935">
        <v>0</v>
      </c>
      <c r="E66" s="935">
        <v>200</v>
      </c>
    </row>
    <row r="67" spans="1:5">
      <c r="A67" s="862" t="s">
        <v>176</v>
      </c>
      <c r="B67" s="935"/>
      <c r="C67" s="935"/>
      <c r="D67" s="935"/>
      <c r="E67" s="935">
        <v>16418</v>
      </c>
    </row>
    <row r="68" spans="1:5">
      <c r="B68" s="935">
        <f>SUM(B61:B67)</f>
        <v>1016785</v>
      </c>
      <c r="C68" s="935">
        <f t="shared" ref="C68:E68" si="23">SUM(C61:C67)</f>
        <v>967665</v>
      </c>
      <c r="D68" s="935">
        <f t="shared" si="23"/>
        <v>24309</v>
      </c>
      <c r="E68" s="935">
        <f t="shared" si="23"/>
        <v>775418</v>
      </c>
    </row>
    <row r="69" spans="1:5">
      <c r="B69" s="935">
        <v>1017140</v>
      </c>
      <c r="C69" s="935"/>
    </row>
    <row r="70" spans="1:5">
      <c r="B70" s="935">
        <f>B68-B69</f>
        <v>-355</v>
      </c>
      <c r="C70" s="935"/>
    </row>
    <row r="71" spans="1:5">
      <c r="B71" s="935"/>
      <c r="C71" s="935"/>
    </row>
    <row r="72" spans="1:5">
      <c r="B72" s="935"/>
      <c r="C72" s="935"/>
    </row>
    <row r="73" spans="1:5">
      <c r="B73" s="935"/>
      <c r="C73" s="935"/>
    </row>
    <row r="74" spans="1:5">
      <c r="B74" s="935"/>
      <c r="C74" s="935"/>
    </row>
    <row r="75" spans="1:5">
      <c r="B75" s="935"/>
      <c r="C75" s="935"/>
    </row>
    <row r="76" spans="1:5">
      <c r="B76" s="935"/>
    </row>
    <row r="77" spans="1:5">
      <c r="B77" s="935"/>
    </row>
    <row r="78" spans="1:5">
      <c r="B78" s="935"/>
    </row>
    <row r="79" spans="1:5">
      <c r="B79" s="935"/>
    </row>
    <row r="80" spans="1:5">
      <c r="B80" s="935"/>
    </row>
    <row r="81" spans="2:2">
      <c r="B81" s="935"/>
    </row>
  </sheetData>
  <mergeCells count="7">
    <mergeCell ref="A55:B55"/>
    <mergeCell ref="A49:B49"/>
    <mergeCell ref="A50:B50"/>
    <mergeCell ref="A51:B51"/>
    <mergeCell ref="A52:B52"/>
    <mergeCell ref="A53:B53"/>
    <mergeCell ref="A54:B54"/>
  </mergeCells>
  <pageMargins left="0.7" right="0.7" top="0.75" bottom="0.75" header="0.3" footer="0.3"/>
  <pageSetup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60"/>
  <sheetViews>
    <sheetView topLeftCell="A38" workbookViewId="0">
      <selection activeCell="E62" sqref="E62"/>
    </sheetView>
  </sheetViews>
  <sheetFormatPr defaultColWidth="8.7109375" defaultRowHeight="12.75"/>
  <cols>
    <col min="1" max="1" width="4.42578125" style="322" customWidth="1"/>
    <col min="2" max="2" width="4.28515625" style="322" customWidth="1"/>
    <col min="3" max="3" width="19.28515625" style="322" customWidth="1"/>
    <col min="4" max="5" width="11.28515625" style="322" bestFit="1" customWidth="1"/>
    <col min="6" max="6" width="11.42578125" style="322" customWidth="1"/>
    <col min="7" max="7" width="10.140625" style="322" customWidth="1"/>
    <col min="8" max="8" width="10.42578125" style="322" customWidth="1"/>
    <col min="9" max="9" width="11.42578125" style="322" customWidth="1"/>
    <col min="10" max="10" width="11.7109375" style="322" bestFit="1" customWidth="1"/>
    <col min="11" max="11" width="8.7109375" style="779"/>
    <col min="12" max="16384" width="8.7109375" style="322"/>
  </cols>
  <sheetData>
    <row r="1" spans="1:11" ht="23.25">
      <c r="A1" s="1103" t="s">
        <v>315</v>
      </c>
      <c r="B1" s="1103"/>
      <c r="C1" s="1103"/>
      <c r="D1" s="1103"/>
      <c r="E1" s="1103"/>
      <c r="F1" s="1103"/>
      <c r="G1" s="1103"/>
      <c r="H1" s="1103"/>
    </row>
    <row r="2" spans="1:11" ht="23.25">
      <c r="A2" s="385"/>
      <c r="B2" s="385"/>
      <c r="C2" s="1105" t="s">
        <v>471</v>
      </c>
      <c r="D2" s="1105"/>
      <c r="E2" s="1105"/>
      <c r="F2" s="1105"/>
      <c r="G2" s="1105"/>
      <c r="H2" s="1105"/>
    </row>
    <row r="3" spans="1:11" ht="20.25">
      <c r="A3" s="386"/>
      <c r="B3" s="1104" t="s">
        <v>346</v>
      </c>
      <c r="C3" s="1104"/>
      <c r="D3" s="324">
        <f>SUM(D38+D32+D29+D23+D16+D9)</f>
        <v>150000</v>
      </c>
      <c r="E3" s="324">
        <f>SUM(E38+E32+E29+E23+E16+E9)</f>
        <v>33000</v>
      </c>
      <c r="F3" s="324">
        <f t="shared" ref="F3:I3" si="0">SUM(F38+F32+F29+F23+F16+F9)</f>
        <v>23500</v>
      </c>
      <c r="G3" s="324">
        <f t="shared" si="0"/>
        <v>38000</v>
      </c>
      <c r="H3" s="324">
        <f t="shared" si="0"/>
        <v>28500</v>
      </c>
      <c r="I3" s="324">
        <f t="shared" si="0"/>
        <v>43000</v>
      </c>
    </row>
    <row r="4" spans="1:11" ht="20.25">
      <c r="A4" s="386"/>
      <c r="B4" s="1104" t="s">
        <v>345</v>
      </c>
      <c r="C4" s="1104"/>
      <c r="D4" s="324"/>
      <c r="E4" s="324">
        <f>SUM(+E26+E32)</f>
        <v>24000</v>
      </c>
      <c r="F4" s="324">
        <v>0</v>
      </c>
      <c r="G4" s="324">
        <f>SUM(G14+G29+G32)</f>
        <v>28000</v>
      </c>
      <c r="H4" s="324">
        <f>SUM(H21+H23)</f>
        <v>0</v>
      </c>
      <c r="I4" s="387">
        <f>SUM(I32+I38)</f>
        <v>39000</v>
      </c>
    </row>
    <row r="5" spans="1:11" ht="15" customHeight="1">
      <c r="A5" s="386"/>
      <c r="B5" s="388"/>
      <c r="C5" s="388"/>
      <c r="D5" s="324"/>
      <c r="E5" s="324"/>
      <c r="F5" s="324"/>
      <c r="G5" s="324"/>
      <c r="H5" s="324"/>
      <c r="I5" s="387"/>
    </row>
    <row r="6" spans="1:11" ht="15">
      <c r="A6" s="323" t="s">
        <v>372</v>
      </c>
      <c r="B6" s="323"/>
      <c r="C6" s="323"/>
      <c r="D6" s="324" t="s">
        <v>243</v>
      </c>
      <c r="E6" s="389" t="s">
        <v>330</v>
      </c>
      <c r="F6" s="389" t="s">
        <v>366</v>
      </c>
      <c r="G6" s="389" t="s">
        <v>472</v>
      </c>
      <c r="H6" s="389" t="s">
        <v>473</v>
      </c>
      <c r="I6" s="389" t="s">
        <v>474</v>
      </c>
      <c r="J6" s="5"/>
      <c r="K6" s="5"/>
    </row>
    <row r="7" spans="1:11">
      <c r="A7" s="396"/>
      <c r="B7" s="396"/>
      <c r="C7" s="384"/>
      <c r="D7" s="390"/>
      <c r="E7" s="390"/>
      <c r="F7" s="391"/>
      <c r="G7" s="391"/>
      <c r="H7" s="391"/>
    </row>
    <row r="8" spans="1:11">
      <c r="A8" s="234"/>
      <c r="B8" s="917" t="s">
        <v>318</v>
      </c>
      <c r="C8" s="234"/>
      <c r="E8" s="1106" t="s">
        <v>476</v>
      </c>
      <c r="F8" s="1106"/>
      <c r="G8" s="1107"/>
      <c r="H8" s="1108"/>
      <c r="I8" s="1109"/>
    </row>
    <row r="9" spans="1:11">
      <c r="A9" s="398"/>
      <c r="B9" s="398"/>
      <c r="C9" s="398"/>
      <c r="D9" s="394">
        <v>20000</v>
      </c>
      <c r="E9" s="395">
        <f>$D$9/5</f>
        <v>4000</v>
      </c>
      <c r="F9" s="800">
        <f t="shared" ref="F9:I9" si="1">$D$9/5</f>
        <v>4000</v>
      </c>
      <c r="G9" s="800">
        <f t="shared" si="1"/>
        <v>4000</v>
      </c>
      <c r="H9" s="800">
        <f t="shared" si="1"/>
        <v>4000</v>
      </c>
      <c r="I9" s="800">
        <f t="shared" si="1"/>
        <v>4000</v>
      </c>
      <c r="J9" s="779"/>
      <c r="K9" s="779" t="s">
        <v>477</v>
      </c>
    </row>
    <row r="10" spans="1:11">
      <c r="A10" s="384"/>
      <c r="B10" s="384"/>
      <c r="C10" s="384" t="s">
        <v>316</v>
      </c>
      <c r="D10" s="920">
        <v>0.8</v>
      </c>
      <c r="E10" s="391">
        <f>E9*0.8</f>
        <v>3200</v>
      </c>
      <c r="F10" s="799">
        <f t="shared" ref="F10:I10" si="2">F9*0.8</f>
        <v>3200</v>
      </c>
      <c r="G10" s="799">
        <f t="shared" si="2"/>
        <v>3200</v>
      </c>
      <c r="H10" s="799">
        <f t="shared" si="2"/>
        <v>3200</v>
      </c>
      <c r="I10" s="799">
        <f t="shared" si="2"/>
        <v>3200</v>
      </c>
    </row>
    <row r="11" spans="1:11">
      <c r="A11" s="384"/>
      <c r="B11" s="384"/>
      <c r="C11" s="384" t="s">
        <v>188</v>
      </c>
      <c r="D11" s="920">
        <v>0.1</v>
      </c>
      <c r="E11" s="391">
        <f>E9*0.1</f>
        <v>400</v>
      </c>
      <c r="F11" s="799">
        <f t="shared" ref="F11:I11" si="3">F9*0.1</f>
        <v>400</v>
      </c>
      <c r="G11" s="799">
        <f t="shared" si="3"/>
        <v>400</v>
      </c>
      <c r="H11" s="799">
        <f t="shared" si="3"/>
        <v>400</v>
      </c>
      <c r="I11" s="799">
        <f t="shared" si="3"/>
        <v>400</v>
      </c>
    </row>
    <row r="12" spans="1:11">
      <c r="A12" s="384"/>
      <c r="B12" s="384"/>
      <c r="C12" s="384" t="s">
        <v>186</v>
      </c>
      <c r="D12" s="920">
        <v>0.05</v>
      </c>
      <c r="E12" s="391">
        <f>E9*0.05</f>
        <v>200</v>
      </c>
      <c r="F12" s="799">
        <f t="shared" ref="F12:I12" si="4">F9*0.05</f>
        <v>200</v>
      </c>
      <c r="G12" s="799">
        <f t="shared" si="4"/>
        <v>200</v>
      </c>
      <c r="H12" s="799">
        <f t="shared" si="4"/>
        <v>200</v>
      </c>
      <c r="I12" s="799">
        <f t="shared" si="4"/>
        <v>200</v>
      </c>
    </row>
    <row r="13" spans="1:11">
      <c r="A13" s="392"/>
      <c r="B13" s="392"/>
      <c r="C13" s="392" t="s">
        <v>184</v>
      </c>
      <c r="D13" s="920">
        <v>0.05</v>
      </c>
      <c r="E13" s="395">
        <f>E9*0.05</f>
        <v>200</v>
      </c>
      <c r="F13" s="800">
        <f t="shared" ref="F13:I13" si="5">F9*0.05</f>
        <v>200</v>
      </c>
      <c r="G13" s="800">
        <f t="shared" si="5"/>
        <v>200</v>
      </c>
      <c r="H13" s="800">
        <f t="shared" si="5"/>
        <v>200</v>
      </c>
      <c r="I13" s="800">
        <f t="shared" si="5"/>
        <v>200</v>
      </c>
    </row>
    <row r="14" spans="1:11">
      <c r="A14" s="1102" t="s">
        <v>317</v>
      </c>
      <c r="B14" s="1102"/>
      <c r="C14" s="384"/>
      <c r="D14" s="390"/>
      <c r="E14" s="391">
        <f>SUM(E10:E13)</f>
        <v>4000</v>
      </c>
      <c r="F14" s="391">
        <f>SUM(F10:F13)</f>
        <v>4000</v>
      </c>
      <c r="G14" s="799">
        <f>SUM(G10:G13)</f>
        <v>4000</v>
      </c>
      <c r="H14" s="399">
        <f>SUM(H10:H13)</f>
        <v>4000</v>
      </c>
      <c r="I14" s="391">
        <f>SUM(I10:I13)</f>
        <v>4000</v>
      </c>
    </row>
    <row r="15" spans="1:11">
      <c r="A15" s="384"/>
      <c r="B15" s="384"/>
      <c r="C15" s="384"/>
      <c r="D15" s="390"/>
      <c r="E15" s="391"/>
      <c r="F15" s="391"/>
      <c r="G15" s="391"/>
      <c r="H15" s="391"/>
    </row>
    <row r="16" spans="1:11" ht="15" customHeight="1">
      <c r="A16" s="392"/>
      <c r="B16" s="915" t="s">
        <v>319</v>
      </c>
      <c r="C16" s="392"/>
      <c r="D16" s="394">
        <v>15000</v>
      </c>
      <c r="E16" s="395"/>
      <c r="F16" s="395"/>
      <c r="G16" s="395"/>
      <c r="H16" s="395"/>
      <c r="J16" s="779" t="s">
        <v>479</v>
      </c>
      <c r="K16" s="779" t="s">
        <v>475</v>
      </c>
    </row>
    <row r="17" spans="1:11">
      <c r="A17" s="384"/>
      <c r="B17" s="206"/>
      <c r="C17" s="384" t="s">
        <v>316</v>
      </c>
      <c r="D17" s="390"/>
      <c r="E17" s="391"/>
      <c r="F17" s="391"/>
      <c r="G17" s="391"/>
      <c r="H17" s="391"/>
      <c r="J17" s="779" t="s">
        <v>481</v>
      </c>
    </row>
    <row r="18" spans="1:11">
      <c r="A18" s="384"/>
      <c r="B18" s="206"/>
      <c r="C18" s="384" t="s">
        <v>188</v>
      </c>
      <c r="D18" s="390"/>
      <c r="E18" s="391"/>
      <c r="F18" s="391"/>
      <c r="G18" s="391"/>
      <c r="H18" s="391"/>
    </row>
    <row r="19" spans="1:11">
      <c r="A19" s="384"/>
      <c r="B19" s="206"/>
      <c r="C19" s="384" t="s">
        <v>186</v>
      </c>
      <c r="D19" s="390"/>
      <c r="E19" s="391"/>
      <c r="F19" s="391"/>
      <c r="G19" s="391"/>
      <c r="H19" s="391"/>
    </row>
    <row r="20" spans="1:11">
      <c r="A20" s="392"/>
      <c r="B20" s="393"/>
      <c r="C20" s="392" t="s">
        <v>184</v>
      </c>
      <c r="D20" s="394"/>
      <c r="E20" s="395"/>
      <c r="F20" s="395"/>
      <c r="G20" s="395"/>
      <c r="H20" s="395"/>
    </row>
    <row r="21" spans="1:11">
      <c r="A21" s="384"/>
      <c r="B21" s="384"/>
      <c r="C21" s="384"/>
      <c r="D21" s="390"/>
      <c r="E21" s="391">
        <f>SUM(E17:E20)</f>
        <v>0</v>
      </c>
      <c r="F21" s="391">
        <f>SUM(F17:F20)</f>
        <v>0</v>
      </c>
      <c r="G21" s="391">
        <f>SUM(G17:G20)</f>
        <v>0</v>
      </c>
      <c r="H21" s="390">
        <f>SUM(H17:H20)</f>
        <v>0</v>
      </c>
    </row>
    <row r="22" spans="1:11" ht="15">
      <c r="A22" s="323" t="s">
        <v>194</v>
      </c>
      <c r="B22" s="323"/>
      <c r="D22" s="324"/>
      <c r="E22" s="400"/>
      <c r="F22" s="400"/>
      <c r="G22" s="400"/>
      <c r="H22" s="400"/>
    </row>
    <row r="23" spans="1:11">
      <c r="A23" s="392"/>
      <c r="B23" s="916" t="s">
        <v>320</v>
      </c>
      <c r="C23" s="392"/>
      <c r="D23" s="394">
        <v>20000</v>
      </c>
      <c r="E23" s="395">
        <v>0</v>
      </c>
      <c r="F23" s="395">
        <v>0</v>
      </c>
      <c r="G23" s="395">
        <v>0</v>
      </c>
      <c r="H23" s="395">
        <v>0</v>
      </c>
      <c r="J23" s="779"/>
      <c r="K23" s="779" t="s">
        <v>475</v>
      </c>
    </row>
    <row r="24" spans="1:11">
      <c r="A24" s="384"/>
      <c r="B24" s="384"/>
      <c r="C24" s="384"/>
      <c r="D24" s="390"/>
      <c r="E24" s="391"/>
      <c r="F24" s="391"/>
      <c r="G24" s="391"/>
      <c r="H24" s="391"/>
      <c r="J24" s="779" t="s">
        <v>478</v>
      </c>
    </row>
    <row r="25" spans="1:11" ht="15">
      <c r="A25" s="323" t="s">
        <v>195</v>
      </c>
      <c r="B25" s="323"/>
      <c r="D25" s="324"/>
      <c r="E25" s="400"/>
      <c r="F25" s="400"/>
      <c r="G25" s="400"/>
      <c r="H25" s="400"/>
    </row>
    <row r="26" spans="1:11">
      <c r="A26" s="384"/>
      <c r="B26" s="384" t="s">
        <v>321</v>
      </c>
      <c r="C26" s="384"/>
      <c r="D26" s="390">
        <v>10000</v>
      </c>
      <c r="E26" s="390">
        <v>0</v>
      </c>
      <c r="F26" s="391"/>
      <c r="G26" s="391"/>
      <c r="H26" s="391"/>
      <c r="J26" s="779" t="s">
        <v>478</v>
      </c>
    </row>
    <row r="27" spans="1:11">
      <c r="A27" s="384"/>
      <c r="B27" s="384" t="s">
        <v>322</v>
      </c>
      <c r="C27" s="384"/>
      <c r="D27" s="390">
        <v>10000</v>
      </c>
      <c r="E27" s="391">
        <v>0</v>
      </c>
      <c r="F27" s="391">
        <v>0</v>
      </c>
      <c r="G27" s="390">
        <v>0</v>
      </c>
      <c r="H27" s="391"/>
    </row>
    <row r="28" spans="1:11">
      <c r="A28" s="392"/>
      <c r="B28" s="392" t="s">
        <v>323</v>
      </c>
      <c r="C28" s="392"/>
      <c r="D28" s="394">
        <v>10000</v>
      </c>
      <c r="E28" s="395">
        <v>0</v>
      </c>
      <c r="F28" s="395">
        <v>0</v>
      </c>
      <c r="G28" s="394">
        <v>0</v>
      </c>
      <c r="H28" s="391"/>
    </row>
    <row r="29" spans="1:11">
      <c r="A29" s="1102" t="s">
        <v>317</v>
      </c>
      <c r="B29" s="1102"/>
      <c r="C29" s="384"/>
      <c r="D29" s="391">
        <f>SUM(D26:D28)</f>
        <v>30000</v>
      </c>
      <c r="E29" s="391">
        <f>SUM(E27:E28)</f>
        <v>0</v>
      </c>
      <c r="F29" s="391">
        <f>SUM(F27:F28)</f>
        <v>0</v>
      </c>
      <c r="G29" s="391">
        <f>SUM(G27:G28)</f>
        <v>0</v>
      </c>
      <c r="H29" s="391"/>
    </row>
    <row r="30" spans="1:11">
      <c r="A30" s="384"/>
      <c r="B30" s="384"/>
      <c r="C30" s="384"/>
      <c r="D30" s="391"/>
      <c r="E30" s="391"/>
      <c r="F30" s="391"/>
      <c r="G30" s="391"/>
      <c r="H30" s="391"/>
    </row>
    <row r="31" spans="1:11" ht="15">
      <c r="A31" s="323" t="s">
        <v>193</v>
      </c>
      <c r="B31" s="323"/>
      <c r="D31" s="324"/>
      <c r="E31" s="400"/>
      <c r="F31" s="400"/>
      <c r="G31" s="400"/>
      <c r="H31" s="400"/>
      <c r="J31" s="779" t="s">
        <v>478</v>
      </c>
    </row>
    <row r="32" spans="1:11">
      <c r="A32" s="392"/>
      <c r="B32" s="392" t="s">
        <v>324</v>
      </c>
      <c r="C32" s="392"/>
      <c r="D32" s="394">
        <v>60000</v>
      </c>
      <c r="E32" s="395">
        <v>24000</v>
      </c>
      <c r="F32" s="395">
        <v>12000</v>
      </c>
      <c r="G32" s="395">
        <v>24000</v>
      </c>
      <c r="H32" s="395">
        <v>12000</v>
      </c>
      <c r="I32" s="395">
        <v>24000</v>
      </c>
    </row>
    <row r="33" spans="1:10">
      <c r="A33" s="384"/>
      <c r="B33" s="401" t="s">
        <v>344</v>
      </c>
      <c r="C33" s="401"/>
      <c r="D33" s="401"/>
      <c r="E33" s="401"/>
      <c r="F33" s="391"/>
      <c r="G33" s="391"/>
      <c r="H33" s="391"/>
    </row>
    <row r="34" spans="1:10">
      <c r="A34" s="384"/>
      <c r="B34" s="401"/>
      <c r="C34" s="401"/>
      <c r="D34" s="401"/>
      <c r="E34" s="401"/>
      <c r="F34" s="391"/>
      <c r="G34" s="391"/>
      <c r="H34" s="391"/>
    </row>
    <row r="35" spans="1:10" ht="15">
      <c r="A35" s="323"/>
      <c r="B35" s="323"/>
      <c r="D35" s="324"/>
      <c r="E35" s="400"/>
      <c r="F35" s="400"/>
      <c r="G35" s="400"/>
      <c r="H35" s="400"/>
    </row>
    <row r="36" spans="1:10">
      <c r="A36" s="384"/>
      <c r="B36" s="384"/>
      <c r="C36" s="384"/>
      <c r="D36" s="390"/>
      <c r="E36" s="391"/>
      <c r="F36" s="391"/>
      <c r="G36" s="391"/>
      <c r="H36" s="391"/>
    </row>
    <row r="37" spans="1:10">
      <c r="A37" s="206" t="s">
        <v>21</v>
      </c>
      <c r="B37" s="206"/>
      <c r="C37" s="384"/>
      <c r="D37" s="390"/>
      <c r="E37" s="391"/>
      <c r="F37" s="391"/>
      <c r="G37" s="391"/>
      <c r="H37" s="391"/>
    </row>
    <row r="38" spans="1:10">
      <c r="A38" s="384" t="s">
        <v>325</v>
      </c>
      <c r="B38" s="384"/>
      <c r="C38" s="384"/>
      <c r="D38" s="390">
        <v>5000</v>
      </c>
      <c r="E38" s="391">
        <v>5000</v>
      </c>
      <c r="F38" s="391">
        <v>7500</v>
      </c>
      <c r="G38" s="391">
        <v>10000</v>
      </c>
      <c r="H38" s="391">
        <v>12500</v>
      </c>
      <c r="I38" s="391">
        <v>15000</v>
      </c>
      <c r="J38" s="779" t="s">
        <v>478</v>
      </c>
    </row>
    <row r="39" spans="1:10">
      <c r="D39" s="400"/>
      <c r="E39" s="400"/>
      <c r="F39" s="400"/>
      <c r="G39" s="400"/>
      <c r="H39" s="400"/>
    </row>
    <row r="41" spans="1:10" s="93" customFormat="1" ht="15.75">
      <c r="A41" s="20" t="s">
        <v>338</v>
      </c>
      <c r="C41" s="601" t="s">
        <v>250</v>
      </c>
      <c r="D41" s="601" t="s">
        <v>300</v>
      </c>
      <c r="E41" s="602" t="s">
        <v>326</v>
      </c>
      <c r="G41" s="601" t="s">
        <v>327</v>
      </c>
      <c r="H41" s="601" t="s">
        <v>328</v>
      </c>
      <c r="I41" s="601"/>
    </row>
    <row r="42" spans="1:10" s="93" customFormat="1" ht="15.75">
      <c r="A42" s="919" t="s">
        <v>339</v>
      </c>
      <c r="B42" s="542"/>
      <c r="C42" s="603">
        <v>2500</v>
      </c>
      <c r="D42" s="603">
        <v>5000</v>
      </c>
      <c r="E42" s="604">
        <v>7500</v>
      </c>
      <c r="G42" s="603">
        <v>10000</v>
      </c>
      <c r="H42" s="603">
        <v>12500</v>
      </c>
    </row>
    <row r="43" spans="1:10" s="93" customFormat="1" ht="18">
      <c r="A43" s="542"/>
      <c r="B43" s="542"/>
      <c r="C43" s="542" t="s">
        <v>365</v>
      </c>
      <c r="D43" s="542"/>
      <c r="E43" s="556"/>
      <c r="F43" s="24"/>
    </row>
    <row r="45" spans="1:10">
      <c r="A45" s="779" t="s">
        <v>480</v>
      </c>
      <c r="D45" s="839">
        <f>1340*12</f>
        <v>16080</v>
      </c>
    </row>
    <row r="46" spans="1:10" s="779" customFormat="1">
      <c r="C46" s="779" t="s">
        <v>370</v>
      </c>
      <c r="D46" s="920">
        <v>0.3</v>
      </c>
      <c r="E46" s="921">
        <f>ROUND(($D$45*D46),0)</f>
        <v>4824</v>
      </c>
      <c r="G46" s="941">
        <f>1296*D46</f>
        <v>388.8</v>
      </c>
      <c r="J46" s="942">
        <f>G46*3</f>
        <v>1166.4000000000001</v>
      </c>
    </row>
    <row r="47" spans="1:10">
      <c r="C47" s="384" t="s">
        <v>316</v>
      </c>
      <c r="D47" s="920">
        <v>0.45</v>
      </c>
      <c r="E47" s="921">
        <f t="shared" ref="E47:E50" si="6">ROUND(($D$45*D47),0)</f>
        <v>7236</v>
      </c>
      <c r="G47" s="941">
        <f t="shared" ref="G47:G50" si="7">1296*D47</f>
        <v>583.20000000000005</v>
      </c>
      <c r="I47" s="942">
        <f>G47*3</f>
        <v>1749.6000000000001</v>
      </c>
    </row>
    <row r="48" spans="1:10">
      <c r="C48" s="384" t="s">
        <v>188</v>
      </c>
      <c r="D48" s="920">
        <v>0.15</v>
      </c>
      <c r="E48" s="921">
        <f t="shared" si="6"/>
        <v>2412</v>
      </c>
      <c r="G48" s="941">
        <f t="shared" si="7"/>
        <v>194.4</v>
      </c>
      <c r="I48" s="942">
        <f t="shared" ref="I48:I50" si="8">G48*3</f>
        <v>583.20000000000005</v>
      </c>
    </row>
    <row r="49" spans="1:10">
      <c r="C49" s="384" t="s">
        <v>186</v>
      </c>
      <c r="D49" s="920">
        <v>0.05</v>
      </c>
      <c r="E49" s="921">
        <f t="shared" si="6"/>
        <v>804</v>
      </c>
      <c r="G49" s="941">
        <f t="shared" si="7"/>
        <v>64.8</v>
      </c>
      <c r="I49" s="942">
        <f t="shared" si="8"/>
        <v>194.39999999999998</v>
      </c>
    </row>
    <row r="50" spans="1:10">
      <c r="C50" s="392" t="s">
        <v>184</v>
      </c>
      <c r="D50" s="920">
        <v>0.05</v>
      </c>
      <c r="E50" s="921">
        <f t="shared" si="6"/>
        <v>804</v>
      </c>
      <c r="G50" s="941">
        <f t="shared" si="7"/>
        <v>64.8</v>
      </c>
      <c r="H50" s="942">
        <f>G47+G48+G49+G50</f>
        <v>907.19999999999993</v>
      </c>
      <c r="I50" s="942">
        <f t="shared" si="8"/>
        <v>194.39999999999998</v>
      </c>
      <c r="J50" s="942">
        <f>I47+I48+I49+I50</f>
        <v>2721.6000000000004</v>
      </c>
    </row>
    <row r="51" spans="1:10" ht="13.5" thickBot="1">
      <c r="E51" s="922">
        <f>SUM(E46:E50)</f>
        <v>16080</v>
      </c>
      <c r="G51" s="941"/>
    </row>
    <row r="52" spans="1:10" ht="13.5" thickTop="1"/>
    <row r="53" spans="1:10">
      <c r="A53" s="779" t="s">
        <v>486</v>
      </c>
      <c r="D53" s="940">
        <v>9500</v>
      </c>
    </row>
    <row r="54" spans="1:10">
      <c r="C54" s="779" t="s">
        <v>370</v>
      </c>
      <c r="D54" s="920">
        <v>0.3</v>
      </c>
      <c r="E54" s="921">
        <f>ROUND(($D$53*D54),0)</f>
        <v>2850</v>
      </c>
    </row>
    <row r="55" spans="1:10">
      <c r="C55" s="384" t="s">
        <v>316</v>
      </c>
      <c r="D55" s="920">
        <v>0.45</v>
      </c>
      <c r="E55" s="921">
        <f t="shared" ref="E55:E58" si="9">ROUND(($D$53*D55),0)</f>
        <v>4275</v>
      </c>
      <c r="I55" s="779"/>
    </row>
    <row r="56" spans="1:10">
      <c r="C56" s="384" t="s">
        <v>188</v>
      </c>
      <c r="D56" s="920">
        <v>0.15</v>
      </c>
      <c r="E56" s="921">
        <f t="shared" si="9"/>
        <v>1425</v>
      </c>
      <c r="I56" s="779"/>
    </row>
    <row r="57" spans="1:10">
      <c r="C57" s="384" t="s">
        <v>186</v>
      </c>
      <c r="D57" s="920">
        <v>0.1</v>
      </c>
      <c r="E57" s="921">
        <f t="shared" si="9"/>
        <v>950</v>
      </c>
    </row>
    <row r="58" spans="1:10">
      <c r="C58" s="392" t="s">
        <v>184</v>
      </c>
      <c r="D58" s="920">
        <v>0</v>
      </c>
      <c r="E58" s="921">
        <f t="shared" si="9"/>
        <v>0</v>
      </c>
    </row>
    <row r="59" spans="1:10" ht="13.5" thickBot="1">
      <c r="C59" s="779"/>
      <c r="D59" s="779"/>
      <c r="E59" s="922">
        <f>SUM(E54:E58)</f>
        <v>9500</v>
      </c>
    </row>
    <row r="60" spans="1:10" ht="13.5" thickTop="1"/>
  </sheetData>
  <mergeCells count="8">
    <mergeCell ref="A29:B29"/>
    <mergeCell ref="A1:H1"/>
    <mergeCell ref="B3:C3"/>
    <mergeCell ref="A14:B14"/>
    <mergeCell ref="C2:H2"/>
    <mergeCell ref="E8:G8"/>
    <mergeCell ref="H8:I8"/>
    <mergeCell ref="B4:C4"/>
  </mergeCells>
  <pageMargins left="0.7" right="0.7" top="0.75" bottom="0.75" header="0.3" footer="0.3"/>
  <pageSetup orientation="portrait" r:id="rId1"/>
  <headerFooter>
    <oddHeader xml:space="preserve">&amp;C&amp;"Arial,Bold"&amp;12CITY OF ADAIR VILLAGE ANNUAL BUDGET
FISCAL YEAR 2015-2016
</oddHeader>
    <oddFooter>&amp;L&amp;Z&amp;F\&amp;A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workbookViewId="0">
      <selection activeCell="G8" sqref="G8"/>
    </sheetView>
  </sheetViews>
  <sheetFormatPr defaultColWidth="9.7109375" defaultRowHeight="15"/>
  <cols>
    <col min="1" max="1" width="3.42578125" style="292" customWidth="1"/>
    <col min="2" max="2" width="27.42578125" style="292" bestFit="1" customWidth="1"/>
    <col min="3" max="3" width="2.42578125" style="292" customWidth="1"/>
    <col min="4" max="5" width="12.7109375" style="292" bestFit="1" customWidth="1"/>
    <col min="6" max="7" width="13.140625" style="292" bestFit="1" customWidth="1"/>
    <col min="8" max="8" width="10.42578125" style="292" bestFit="1" customWidth="1"/>
    <col min="9" max="9" width="10.7109375" style="292" bestFit="1" customWidth="1"/>
    <col min="10" max="10" width="2.7109375" style="292" customWidth="1"/>
    <col min="11" max="11" width="4.42578125" style="292" customWidth="1"/>
    <col min="12" max="13" width="10.28515625" style="803" bestFit="1" customWidth="1"/>
    <col min="14" max="232" width="9.140625" customWidth="1"/>
    <col min="233" max="233" width="4.42578125" customWidth="1"/>
    <col min="234" max="234" width="32.28515625" customWidth="1"/>
    <col min="235" max="235" width="12.28515625" bestFit="1" customWidth="1"/>
    <col min="236" max="238" width="10.140625" bestFit="1" customWidth="1"/>
    <col min="239" max="239" width="9.7109375" bestFit="1" customWidth="1"/>
  </cols>
  <sheetData>
    <row r="1" spans="1:16">
      <c r="A1" s="1055" t="s">
        <v>436</v>
      </c>
      <c r="B1" s="1055"/>
      <c r="C1" s="1055"/>
      <c r="D1" s="1055"/>
      <c r="E1" s="1055"/>
      <c r="F1" s="1055"/>
      <c r="G1" s="1055"/>
      <c r="H1" s="1055"/>
      <c r="I1" s="1055"/>
      <c r="L1" s="1110"/>
    </row>
    <row r="2" spans="1:16" ht="15.75" thickBot="1">
      <c r="A2" s="291"/>
      <c r="K2" s="291"/>
    </row>
    <row r="3" spans="1:16" ht="15.75" thickBot="1">
      <c r="A3" s="291"/>
      <c r="D3" s="293" t="s">
        <v>347</v>
      </c>
      <c r="E3" s="294" t="s">
        <v>348</v>
      </c>
      <c r="F3" s="294" t="s">
        <v>349</v>
      </c>
      <c r="G3" s="294" t="s">
        <v>350</v>
      </c>
      <c r="H3" s="294" t="s">
        <v>351</v>
      </c>
      <c r="I3" s="294" t="s">
        <v>352</v>
      </c>
      <c r="K3" s="291"/>
      <c r="L3" s="1111"/>
      <c r="M3" s="974"/>
      <c r="N3" s="698"/>
    </row>
    <row r="4" spans="1:16">
      <c r="B4" s="295" t="s">
        <v>333</v>
      </c>
      <c r="D4" s="296">
        <f>51728*(1+D32)</f>
        <v>59487.199999999997</v>
      </c>
      <c r="E4" s="296">
        <f>D4*1.05</f>
        <v>62461.56</v>
      </c>
      <c r="F4" s="296">
        <f t="shared" ref="F4:I4" si="0">E4*1.05</f>
        <v>65584.638000000006</v>
      </c>
      <c r="G4" s="296">
        <f t="shared" si="0"/>
        <v>68863.869900000005</v>
      </c>
      <c r="H4" s="296">
        <f t="shared" si="0"/>
        <v>72307.063395000005</v>
      </c>
      <c r="I4" s="296">
        <f t="shared" si="0"/>
        <v>75922.416564750005</v>
      </c>
      <c r="L4" s="1112"/>
      <c r="M4" s="974"/>
      <c r="N4" s="698"/>
    </row>
    <row r="5" spans="1:16">
      <c r="B5" s="295" t="s">
        <v>353</v>
      </c>
      <c r="D5" s="296">
        <f>40486*(1+$D$32)</f>
        <v>46558.899999999994</v>
      </c>
      <c r="E5" s="296">
        <f t="shared" ref="E5:I5" si="1">D5*1.05</f>
        <v>48886.844999999994</v>
      </c>
      <c r="F5" s="296">
        <f t="shared" si="1"/>
        <v>51331.187249999995</v>
      </c>
      <c r="G5" s="296">
        <f t="shared" si="1"/>
        <v>53897.746612499999</v>
      </c>
      <c r="H5" s="296">
        <f t="shared" si="1"/>
        <v>56592.633943125002</v>
      </c>
      <c r="I5" s="296">
        <f t="shared" si="1"/>
        <v>59422.265640281257</v>
      </c>
      <c r="L5" s="1112"/>
      <c r="M5" s="974"/>
      <c r="N5" s="698"/>
    </row>
    <row r="6" spans="1:16">
      <c r="B6" s="295" t="s">
        <v>219</v>
      </c>
      <c r="D6" s="296">
        <f>32973*(1+$D$32)</f>
        <v>37918.949999999997</v>
      </c>
      <c r="E6" s="296">
        <f t="shared" ref="E6:I6" si="2">D6*1.05</f>
        <v>39814.897499999999</v>
      </c>
      <c r="F6" s="296">
        <f t="shared" si="2"/>
        <v>41805.642375000003</v>
      </c>
      <c r="G6" s="296">
        <f t="shared" si="2"/>
        <v>43895.924493750004</v>
      </c>
      <c r="H6" s="687">
        <f t="shared" si="2"/>
        <v>46090.720718437507</v>
      </c>
      <c r="I6" s="688">
        <f t="shared" si="2"/>
        <v>48395.256754359383</v>
      </c>
      <c r="L6" s="803">
        <v>42446.51</v>
      </c>
      <c r="M6" s="803">
        <v>54244.98</v>
      </c>
      <c r="O6" s="834">
        <f>(L6-D6)/D6</f>
        <v>0.11940098552306974</v>
      </c>
      <c r="P6" s="1113">
        <f>(M6-I6)/I6</f>
        <v>0.1208738962855835</v>
      </c>
    </row>
    <row r="7" spans="1:16">
      <c r="B7" s="295" t="s">
        <v>455</v>
      </c>
      <c r="D7" s="687">
        <f>32973*(1+$D$32)</f>
        <v>37918.949999999997</v>
      </c>
      <c r="E7" s="687">
        <f t="shared" ref="E7:I7" si="3">D7*1.05</f>
        <v>39814.897499999999</v>
      </c>
      <c r="F7" s="687">
        <f t="shared" si="3"/>
        <v>41805.642375000003</v>
      </c>
      <c r="G7" s="687">
        <f t="shared" si="3"/>
        <v>43895.924493750004</v>
      </c>
      <c r="H7" s="687">
        <f t="shared" si="3"/>
        <v>46090.720718437507</v>
      </c>
      <c r="I7" s="688">
        <f t="shared" si="3"/>
        <v>48395.256754359383</v>
      </c>
      <c r="L7" s="803">
        <v>39788.06</v>
      </c>
      <c r="M7" s="803">
        <v>50649.65</v>
      </c>
      <c r="O7" s="834">
        <f>(L7-D7)/D7</f>
        <v>4.9292240423323974E-2</v>
      </c>
      <c r="P7" s="1113">
        <f>(M7-I7)/I7</f>
        <v>4.6582938015667111E-2</v>
      </c>
    </row>
    <row r="8" spans="1:16">
      <c r="B8" s="295" t="s">
        <v>237</v>
      </c>
      <c r="D8" s="296">
        <f>34292*(1+$D$32)</f>
        <v>39435.799999999996</v>
      </c>
      <c r="E8" s="687">
        <f t="shared" ref="E8:I8" si="4">D8*1.05</f>
        <v>41407.589999999997</v>
      </c>
      <c r="F8" s="687">
        <f t="shared" si="4"/>
        <v>43477.969499999999</v>
      </c>
      <c r="G8" s="687">
        <f t="shared" si="4"/>
        <v>45651.867975000001</v>
      </c>
      <c r="H8" s="296">
        <f t="shared" si="4"/>
        <v>47934.461373750004</v>
      </c>
      <c r="I8" s="296">
        <f t="shared" si="4"/>
        <v>50331.184442437509</v>
      </c>
    </row>
    <row r="9" spans="1:16">
      <c r="B9" s="295" t="s">
        <v>211</v>
      </c>
      <c r="D9" s="296">
        <f>51438*(1+$D$32)</f>
        <v>59153.7</v>
      </c>
      <c r="E9" s="296">
        <f t="shared" ref="E9:I9" si="5">D9*1.05</f>
        <v>62111.385000000002</v>
      </c>
      <c r="F9" s="296">
        <f t="shared" si="5"/>
        <v>65216.954250000003</v>
      </c>
      <c r="G9" s="687">
        <f t="shared" si="5"/>
        <v>68477.801962500002</v>
      </c>
      <c r="H9" s="687">
        <f t="shared" si="5"/>
        <v>71901.692060625006</v>
      </c>
      <c r="I9" s="688">
        <f t="shared" si="5"/>
        <v>75496.776663656259</v>
      </c>
      <c r="L9" s="803">
        <v>76178.33</v>
      </c>
      <c r="M9" s="803">
        <v>85773</v>
      </c>
      <c r="O9" s="834">
        <f>(L9-D9)/D9</f>
        <v>0.28780329886380746</v>
      </c>
      <c r="P9" s="1113">
        <f>(M9-I9)/I9</f>
        <v>0.13611472953507775</v>
      </c>
    </row>
    <row r="10" spans="1:16">
      <c r="B10" s="295" t="s">
        <v>235</v>
      </c>
      <c r="D10" s="296">
        <f>42806*(1+$D$32)</f>
        <v>49226.899999999994</v>
      </c>
      <c r="E10" s="687">
        <f t="shared" ref="E10:I10" si="6">D10*1.05</f>
        <v>51688.244999999995</v>
      </c>
      <c r="F10" s="687">
        <f t="shared" si="6"/>
        <v>54272.657249999997</v>
      </c>
      <c r="G10" s="687">
        <f t="shared" si="6"/>
        <v>56986.290112499999</v>
      </c>
      <c r="H10" s="688">
        <f t="shared" si="6"/>
        <v>59835.604618124999</v>
      </c>
      <c r="I10" s="687">
        <f t="shared" si="6"/>
        <v>62827.384849031252</v>
      </c>
      <c r="L10" s="941"/>
    </row>
    <row r="11" spans="1:16">
      <c r="B11" s="945" t="s">
        <v>354</v>
      </c>
      <c r="D11" s="296">
        <f>36566*(1+$D$32)</f>
        <v>42050.899999999994</v>
      </c>
      <c r="E11" s="296">
        <f t="shared" ref="E11:I11" si="7">D11*1.05</f>
        <v>44153.444999999992</v>
      </c>
      <c r="F11" s="296">
        <f t="shared" si="7"/>
        <v>46361.117249999996</v>
      </c>
      <c r="G11" s="296">
        <f t="shared" si="7"/>
        <v>48679.173112500001</v>
      </c>
      <c r="H11" s="687">
        <f t="shared" si="7"/>
        <v>51113.131768125</v>
      </c>
      <c r="I11" s="688">
        <f t="shared" si="7"/>
        <v>53668.788356531251</v>
      </c>
    </row>
    <row r="12" spans="1:16">
      <c r="B12" s="295" t="s">
        <v>236</v>
      </c>
      <c r="D12" s="687">
        <f>26528*(1+$D$32)</f>
        <v>30507.199999999997</v>
      </c>
      <c r="E12" s="687">
        <f t="shared" ref="E12:I12" si="8">D12*1.05</f>
        <v>32032.559999999998</v>
      </c>
      <c r="F12" s="687">
        <f t="shared" si="8"/>
        <v>33634.188000000002</v>
      </c>
      <c r="G12" s="296">
        <f t="shared" si="8"/>
        <v>35315.897400000002</v>
      </c>
      <c r="H12" s="296">
        <f t="shared" si="8"/>
        <v>37081.692270000007</v>
      </c>
      <c r="I12" s="296">
        <f t="shared" si="8"/>
        <v>38935.77688350001</v>
      </c>
    </row>
    <row r="13" spans="1:16">
      <c r="B13" s="295" t="s">
        <v>355</v>
      </c>
      <c r="D13" s="296">
        <f>32973*(1+$D$32)</f>
        <v>37918.949999999997</v>
      </c>
      <c r="E13" s="296">
        <f t="shared" ref="E13:I13" si="9">D13*1.05</f>
        <v>39814.897499999999</v>
      </c>
      <c r="F13" s="296">
        <f t="shared" si="9"/>
        <v>41805.642375000003</v>
      </c>
      <c r="G13" s="296">
        <f t="shared" si="9"/>
        <v>43895.924493750004</v>
      </c>
      <c r="H13" s="296">
        <f t="shared" si="9"/>
        <v>46090.720718437507</v>
      </c>
      <c r="I13" s="296">
        <f t="shared" si="9"/>
        <v>48395.256754359383</v>
      </c>
    </row>
    <row r="15" spans="1:16">
      <c r="A15" s="1054"/>
      <c r="B15" s="1054"/>
      <c r="K15" s="291"/>
    </row>
    <row r="16" spans="1:16">
      <c r="B16" s="295" t="s">
        <v>333</v>
      </c>
      <c r="D16" s="297">
        <f>D4/2080</f>
        <v>28.599615384615383</v>
      </c>
      <c r="E16" s="297">
        <f t="shared" ref="E16:I16" si="10">E4/2080</f>
        <v>30.029596153846153</v>
      </c>
      <c r="F16" s="297">
        <f t="shared" si="10"/>
        <v>31.531075961538466</v>
      </c>
      <c r="G16" s="297">
        <f t="shared" si="10"/>
        <v>33.107629759615385</v>
      </c>
      <c r="H16" s="297">
        <f t="shared" si="10"/>
        <v>34.763011247596154</v>
      </c>
      <c r="I16" s="297">
        <f t="shared" si="10"/>
        <v>36.501161809975962</v>
      </c>
    </row>
    <row r="17" spans="2:16">
      <c r="B17" s="295" t="s">
        <v>353</v>
      </c>
      <c r="D17" s="297">
        <f t="shared" ref="D17:I25" si="11">D5/2080</f>
        <v>22.384086538461535</v>
      </c>
      <c r="E17" s="690">
        <f>E5/2080</f>
        <v>23.503290865384614</v>
      </c>
      <c r="F17" s="690">
        <f t="shared" si="11"/>
        <v>24.678455408653843</v>
      </c>
      <c r="G17" s="690">
        <f t="shared" si="11"/>
        <v>25.912378179086538</v>
      </c>
      <c r="H17" s="690">
        <f t="shared" si="11"/>
        <v>27.207997088040866</v>
      </c>
      <c r="I17" s="297">
        <f t="shared" si="11"/>
        <v>28.568396942442913</v>
      </c>
    </row>
    <row r="18" spans="2:16">
      <c r="B18" s="295" t="s">
        <v>219</v>
      </c>
      <c r="D18" s="297">
        <f t="shared" si="11"/>
        <v>18.230264423076921</v>
      </c>
      <c r="E18" s="690">
        <f t="shared" si="11"/>
        <v>19.141777644230768</v>
      </c>
      <c r="F18" s="690">
        <f t="shared" si="11"/>
        <v>20.098866526442308</v>
      </c>
      <c r="G18" s="690">
        <f t="shared" si="11"/>
        <v>21.103809852764424</v>
      </c>
      <c r="H18" s="690">
        <f t="shared" si="11"/>
        <v>22.159000345402649</v>
      </c>
      <c r="I18" s="689">
        <f t="shared" si="11"/>
        <v>23.26695036267278</v>
      </c>
      <c r="L18" s="803">
        <v>24.48</v>
      </c>
      <c r="M18" s="803">
        <v>31.12</v>
      </c>
      <c r="O18" s="834">
        <f>(L18-D18)/D18</f>
        <v>0.34282199269758279</v>
      </c>
      <c r="P18" s="1113">
        <f t="shared" ref="P18:P19" si="12">(M18-I18)/I18</f>
        <v>0.3375195079251076</v>
      </c>
    </row>
    <row r="19" spans="2:16">
      <c r="B19" s="295" t="s">
        <v>455</v>
      </c>
      <c r="D19" s="297">
        <f t="shared" si="11"/>
        <v>18.230264423076921</v>
      </c>
      <c r="E19" s="690">
        <f t="shared" si="11"/>
        <v>19.141777644230768</v>
      </c>
      <c r="F19" s="690">
        <f t="shared" si="11"/>
        <v>20.098866526442308</v>
      </c>
      <c r="G19" s="690">
        <f t="shared" si="11"/>
        <v>21.103809852764424</v>
      </c>
      <c r="H19" s="689">
        <f t="shared" si="11"/>
        <v>22.159000345402649</v>
      </c>
      <c r="I19" s="690">
        <f t="shared" si="11"/>
        <v>23.26695036267278</v>
      </c>
      <c r="L19" s="803">
        <v>22.79</v>
      </c>
      <c r="M19" s="803">
        <v>28.95</v>
      </c>
      <c r="O19" s="834">
        <f>(L19-D19)/D19</f>
        <v>0.25011900382262703</v>
      </c>
      <c r="P19" s="1113">
        <f t="shared" si="12"/>
        <v>0.24425416948688505</v>
      </c>
    </row>
    <row r="20" spans="2:16">
      <c r="B20" s="295" t="s">
        <v>237</v>
      </c>
      <c r="D20" s="297">
        <f t="shared" si="11"/>
        <v>18.959519230769228</v>
      </c>
      <c r="E20" s="690">
        <f t="shared" si="11"/>
        <v>19.907495192307692</v>
      </c>
      <c r="F20" s="690">
        <f t="shared" si="11"/>
        <v>20.902869951923076</v>
      </c>
      <c r="G20" s="690">
        <f t="shared" si="11"/>
        <v>21.94801344951923</v>
      </c>
      <c r="H20" s="690">
        <f t="shared" si="11"/>
        <v>23.045414121995194</v>
      </c>
      <c r="I20" s="297">
        <f t="shared" si="11"/>
        <v>24.197684828094957</v>
      </c>
    </row>
    <row r="21" spans="2:16">
      <c r="B21" s="295" t="s">
        <v>211</v>
      </c>
      <c r="D21" s="297">
        <f t="shared" si="11"/>
        <v>28.439278846153844</v>
      </c>
      <c r="E21" s="297">
        <f t="shared" si="11"/>
        <v>29.861242788461539</v>
      </c>
      <c r="F21" s="297">
        <f t="shared" si="11"/>
        <v>31.354304927884616</v>
      </c>
      <c r="G21" s="690">
        <f t="shared" si="11"/>
        <v>32.922020174278849</v>
      </c>
      <c r="H21" s="690">
        <f t="shared" si="11"/>
        <v>34.56812118299279</v>
      </c>
      <c r="I21" s="689">
        <f t="shared" si="11"/>
        <v>36.296527242142432</v>
      </c>
    </row>
    <row r="22" spans="2:16">
      <c r="B22" s="295" t="s">
        <v>235</v>
      </c>
      <c r="D22" s="297">
        <f t="shared" si="11"/>
        <v>23.666778846153843</v>
      </c>
      <c r="E22" s="690">
        <f t="shared" si="11"/>
        <v>24.850117788461535</v>
      </c>
      <c r="F22" s="690">
        <f t="shared" si="11"/>
        <v>26.092623677884614</v>
      </c>
      <c r="G22" s="689">
        <f t="shared" si="11"/>
        <v>27.397254861778844</v>
      </c>
      <c r="H22" s="297">
        <f t="shared" si="11"/>
        <v>28.767117604867789</v>
      </c>
      <c r="I22" s="690">
        <f t="shared" si="11"/>
        <v>30.205473485111177</v>
      </c>
    </row>
    <row r="23" spans="2:16">
      <c r="B23" s="295" t="s">
        <v>354</v>
      </c>
      <c r="D23" s="297">
        <f t="shared" si="11"/>
        <v>20.216778846153844</v>
      </c>
      <c r="E23" s="690">
        <f t="shared" si="11"/>
        <v>21.227617788461536</v>
      </c>
      <c r="F23" s="297">
        <f t="shared" si="11"/>
        <v>22.288998677884614</v>
      </c>
      <c r="G23" s="297">
        <f t="shared" si="11"/>
        <v>23.403448611778845</v>
      </c>
      <c r="H23" s="690">
        <f t="shared" si="11"/>
        <v>24.57362104236779</v>
      </c>
      <c r="I23" s="689">
        <f t="shared" si="11"/>
        <v>25.80230209448618</v>
      </c>
      <c r="L23" s="803">
        <v>22.3</v>
      </c>
      <c r="M23" s="803">
        <v>28.36</v>
      </c>
      <c r="N23" s="777" t="s">
        <v>580</v>
      </c>
      <c r="O23" s="834">
        <f>(L23-D23)/D23</f>
        <v>0.10304416790128172</v>
      </c>
      <c r="P23" s="1113">
        <f t="shared" ref="P23:P24" si="13">(M23-I23)/I23</f>
        <v>9.9126732806542356E-2</v>
      </c>
    </row>
    <row r="24" spans="2:16">
      <c r="B24" s="295" t="s">
        <v>236</v>
      </c>
      <c r="D24" s="297">
        <f t="shared" si="11"/>
        <v>14.666923076923075</v>
      </c>
      <c r="E24" s="690">
        <f t="shared" si="11"/>
        <v>15.400269230769229</v>
      </c>
      <c r="F24" s="690">
        <f t="shared" si="11"/>
        <v>16.170282692307694</v>
      </c>
      <c r="G24" s="297">
        <f t="shared" si="11"/>
        <v>16.978796826923077</v>
      </c>
      <c r="H24" s="297">
        <f t="shared" si="11"/>
        <v>17.827736668269235</v>
      </c>
      <c r="I24" s="297">
        <f t="shared" si="11"/>
        <v>18.719123501682699</v>
      </c>
      <c r="L24" s="803">
        <v>16.448</v>
      </c>
      <c r="M24" s="803">
        <v>20.85</v>
      </c>
      <c r="N24" s="777" t="s">
        <v>579</v>
      </c>
      <c r="O24" s="834">
        <f>(L24-D24)/D24</f>
        <v>0.12143493994860249</v>
      </c>
      <c r="P24" s="1113">
        <f t="shared" si="13"/>
        <v>0.1138342026604907</v>
      </c>
    </row>
    <row r="25" spans="2:16">
      <c r="B25" s="295" t="s">
        <v>355</v>
      </c>
      <c r="D25" s="297">
        <f t="shared" si="11"/>
        <v>18.230264423076921</v>
      </c>
      <c r="E25" s="297">
        <f t="shared" si="11"/>
        <v>19.141777644230768</v>
      </c>
      <c r="F25" s="297">
        <f t="shared" si="11"/>
        <v>20.098866526442308</v>
      </c>
      <c r="G25" s="297">
        <f t="shared" si="11"/>
        <v>21.103809852764424</v>
      </c>
      <c r="H25" s="297">
        <f t="shared" si="11"/>
        <v>22.159000345402649</v>
      </c>
      <c r="I25" s="297">
        <f t="shared" si="11"/>
        <v>23.26695036267278</v>
      </c>
    </row>
    <row r="26" spans="2:16">
      <c r="B26" s="295"/>
      <c r="H26" s="297"/>
      <c r="I26" s="297"/>
    </row>
    <row r="28" spans="2:16">
      <c r="D28" s="944" t="s">
        <v>563</v>
      </c>
      <c r="E28" s="944"/>
      <c r="F28" s="944"/>
      <c r="G28" s="944"/>
    </row>
    <row r="29" spans="2:16">
      <c r="D29" s="292" t="s">
        <v>564</v>
      </c>
      <c r="F29" s="292" t="s">
        <v>565</v>
      </c>
    </row>
    <row r="32" spans="2:16">
      <c r="D32" s="292">
        <v>0.15</v>
      </c>
    </row>
  </sheetData>
  <mergeCells count="2">
    <mergeCell ref="A15:B15"/>
    <mergeCell ref="A1:I1"/>
  </mergeCells>
  <phoneticPr fontId="15" type="noConversion"/>
  <pageMargins left="0.7" right="0.7" top="0.75" bottom="0.75" header="0.3" footer="0.3"/>
  <pageSetup scale="87" orientation="portrait" r:id="rId1"/>
  <headerFooter>
    <oddHeader>&amp;C&amp;"Arial,Bold"&amp;UCITY OF ADAIR VILLAGE ANNUAL BUDGET
&amp;UFISCAL YEAR 2021-22</oddHeader>
    <oddFooter>&amp;C&amp;A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2"/>
  <sheetViews>
    <sheetView view="pageBreakPreview" zoomScale="80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ColWidth="8.7109375" defaultRowHeight="12.75"/>
  <cols>
    <col min="1" max="1" width="4.28515625" style="162" customWidth="1"/>
    <col min="2" max="2" width="24.7109375" style="162" customWidth="1"/>
    <col min="3" max="3" width="13.42578125" style="506" customWidth="1"/>
    <col min="4" max="4" width="12.42578125" style="407" bestFit="1" customWidth="1"/>
    <col min="5" max="5" width="14.140625" style="407" bestFit="1" customWidth="1"/>
    <col min="6" max="6" width="14.140625" style="162" customWidth="1"/>
    <col min="7" max="7" width="11.42578125" style="162" customWidth="1"/>
    <col min="8" max="8" width="12.42578125" style="162" customWidth="1"/>
    <col min="9" max="9" width="11.140625" style="162" customWidth="1"/>
    <col min="10" max="10" width="16.28515625" style="531" bestFit="1" customWidth="1"/>
    <col min="11" max="13" width="13.42578125" style="162" customWidth="1"/>
    <col min="14" max="14" width="15.42578125" style="162" customWidth="1"/>
    <col min="15" max="15" width="14.140625" style="407" bestFit="1" customWidth="1"/>
    <col min="16" max="16" width="12.42578125" style="162" bestFit="1" customWidth="1"/>
    <col min="17" max="17" width="16.140625" style="162" customWidth="1"/>
    <col min="18" max="18" width="19.140625" style="162" customWidth="1"/>
    <col min="19" max="16384" width="8.7109375" style="162"/>
  </cols>
  <sheetData>
    <row r="1" spans="1:18" ht="9" customHeight="1">
      <c r="A1" s="500"/>
      <c r="B1" s="500"/>
      <c r="C1" s="501"/>
      <c r="D1" s="502"/>
      <c r="J1" s="503"/>
    </row>
    <row r="2" spans="1:18" ht="15" customHeight="1">
      <c r="A2" s="504" t="s">
        <v>238</v>
      </c>
      <c r="B2" s="505"/>
      <c r="C2" s="501" t="s">
        <v>221</v>
      </c>
      <c r="D2" s="502" t="s">
        <v>199</v>
      </c>
      <c r="E2" s="502" t="s">
        <v>283</v>
      </c>
      <c r="F2" s="946" t="s">
        <v>212</v>
      </c>
      <c r="G2" s="408" t="s">
        <v>213</v>
      </c>
      <c r="H2" s="946" t="s">
        <v>214</v>
      </c>
      <c r="I2" s="408" t="s">
        <v>182</v>
      </c>
      <c r="J2" s="503" t="s">
        <v>286</v>
      </c>
      <c r="K2" s="946" t="s">
        <v>215</v>
      </c>
      <c r="L2" s="408" t="s">
        <v>216</v>
      </c>
      <c r="M2" s="946" t="s">
        <v>217</v>
      </c>
      <c r="N2" s="408" t="s">
        <v>218</v>
      </c>
      <c r="O2" s="502" t="s">
        <v>150</v>
      </c>
      <c r="Q2" s="408"/>
    </row>
    <row r="3" spans="1:18" ht="15" customHeight="1">
      <c r="A3" s="504"/>
      <c r="B3" s="505"/>
      <c r="C3" s="501"/>
      <c r="D3" s="502"/>
      <c r="E3" s="937"/>
      <c r="F3" s="947" t="s">
        <v>5</v>
      </c>
      <c r="H3" s="947"/>
      <c r="J3" s="503"/>
      <c r="K3" s="947"/>
      <c r="M3" s="947"/>
    </row>
    <row r="4" spans="1:18" ht="15" customHeight="1">
      <c r="A4" s="505" t="s">
        <v>30</v>
      </c>
      <c r="B4" s="505"/>
      <c r="F4" s="948">
        <v>0.55000000000000004</v>
      </c>
      <c r="G4" s="507"/>
      <c r="H4" s="948"/>
      <c r="I4" s="507">
        <v>0.05</v>
      </c>
      <c r="J4" s="503"/>
      <c r="K4" s="948">
        <v>2.5000000000000001E-2</v>
      </c>
      <c r="L4" s="507">
        <v>0</v>
      </c>
      <c r="M4" s="948">
        <v>7.4999999999999997E-2</v>
      </c>
      <c r="N4" s="507">
        <v>0.3</v>
      </c>
      <c r="Q4" s="507">
        <f>SUM(F4:O4)</f>
        <v>1</v>
      </c>
    </row>
    <row r="5" spans="1:18" ht="15" customHeight="1">
      <c r="A5" s="505"/>
      <c r="B5" s="508" t="s">
        <v>199</v>
      </c>
      <c r="C5" s="501">
        <v>1</v>
      </c>
      <c r="D5" s="801">
        <f>SUM('2022-23 Wages &amp; Benefits'!F5)</f>
        <v>116400</v>
      </c>
      <c r="E5" s="407">
        <f>SUM(D5*C5)</f>
        <v>116400</v>
      </c>
      <c r="F5" s="949">
        <f>SUM($E5*F$4)</f>
        <v>64020.000000000007</v>
      </c>
      <c r="G5" s="407">
        <f t="shared" ref="G5:I8" si="0">SUM($E5*G$4)</f>
        <v>0</v>
      </c>
      <c r="H5" s="949">
        <f t="shared" si="0"/>
        <v>0</v>
      </c>
      <c r="I5" s="407">
        <f t="shared" si="0"/>
        <v>5820</v>
      </c>
      <c r="J5" s="503">
        <f>SUM(F5:I5)</f>
        <v>69840</v>
      </c>
      <c r="K5" s="949">
        <f>SUM($E5*K$4)</f>
        <v>2910</v>
      </c>
      <c r="L5" s="407">
        <f t="shared" ref="L5:N8" si="1">SUM($E5*L$4)</f>
        <v>0</v>
      </c>
      <c r="M5" s="949">
        <f t="shared" si="1"/>
        <v>8730</v>
      </c>
      <c r="N5" s="407">
        <f t="shared" si="1"/>
        <v>34920</v>
      </c>
      <c r="O5" s="502">
        <f>SUM(J5:N5)</f>
        <v>116400</v>
      </c>
      <c r="Q5" s="509">
        <f>SUM(M5+N5)</f>
        <v>43650</v>
      </c>
      <c r="R5" s="509"/>
    </row>
    <row r="6" spans="1:18" ht="15" customHeight="1">
      <c r="A6" s="505"/>
      <c r="B6" s="508" t="s">
        <v>198</v>
      </c>
      <c r="C6" s="501"/>
      <c r="D6" s="502"/>
      <c r="E6" s="407">
        <f>SUM('2022-23 Wages &amp; Benefits'!Y5)</f>
        <v>16086.48</v>
      </c>
      <c r="F6" s="949">
        <f>SUM($E6*F$4)</f>
        <v>8847.5640000000003</v>
      </c>
      <c r="G6" s="407">
        <f t="shared" si="0"/>
        <v>0</v>
      </c>
      <c r="H6" s="949">
        <f t="shared" si="0"/>
        <v>0</v>
      </c>
      <c r="I6" s="407">
        <f t="shared" si="0"/>
        <v>804.32400000000007</v>
      </c>
      <c r="J6" s="503">
        <f>SUM(F6:I6)</f>
        <v>9651.8880000000008</v>
      </c>
      <c r="K6" s="949">
        <f>SUM($E6*K$4)</f>
        <v>402.16200000000003</v>
      </c>
      <c r="L6" s="407">
        <f t="shared" si="1"/>
        <v>0</v>
      </c>
      <c r="M6" s="949">
        <f t="shared" si="1"/>
        <v>1206.4859999999999</v>
      </c>
      <c r="N6" s="407">
        <f t="shared" si="1"/>
        <v>4825.9439999999995</v>
      </c>
      <c r="O6" s="502">
        <f>SUM(J6:N6)</f>
        <v>16086.48</v>
      </c>
      <c r="Q6" s="509">
        <f>SUM(M6+N6)</f>
        <v>6032.4299999999994</v>
      </c>
      <c r="R6" s="509"/>
    </row>
    <row r="7" spans="1:18" ht="15" customHeight="1">
      <c r="A7" s="505"/>
      <c r="B7" s="508" t="s">
        <v>260</v>
      </c>
      <c r="C7" s="501"/>
      <c r="D7" s="502"/>
      <c r="E7" s="407">
        <f>SUM('2022-23 Wages &amp; Benefits'!M5)</f>
        <v>23967.52</v>
      </c>
      <c r="F7" s="949">
        <f>SUM($E7*F$4)</f>
        <v>13182.136</v>
      </c>
      <c r="G7" s="407">
        <f t="shared" si="0"/>
        <v>0</v>
      </c>
      <c r="H7" s="949">
        <f t="shared" si="0"/>
        <v>0</v>
      </c>
      <c r="I7" s="407">
        <f t="shared" si="0"/>
        <v>1198.376</v>
      </c>
      <c r="J7" s="503">
        <f>SUM(F7:I7)</f>
        <v>14380.512000000001</v>
      </c>
      <c r="K7" s="949">
        <f>SUM($E7*K$4)</f>
        <v>599.18799999999999</v>
      </c>
      <c r="L7" s="407">
        <f t="shared" si="1"/>
        <v>0</v>
      </c>
      <c r="M7" s="949">
        <f t="shared" si="1"/>
        <v>1797.5640000000001</v>
      </c>
      <c r="N7" s="407">
        <f t="shared" si="1"/>
        <v>7190.2560000000003</v>
      </c>
      <c r="O7" s="502">
        <f>SUM(J7:N7)</f>
        <v>23967.52</v>
      </c>
      <c r="Q7" s="509">
        <f>SUM(M7+N7)</f>
        <v>8987.82</v>
      </c>
      <c r="R7" s="509"/>
    </row>
    <row r="8" spans="1:18" ht="15" customHeight="1">
      <c r="A8" s="505"/>
      <c r="B8" s="508" t="s">
        <v>282</v>
      </c>
      <c r="C8" s="501"/>
      <c r="D8" s="502"/>
      <c r="E8" s="407">
        <f>SUM('2022-23 Wages &amp; Benefits'!P5)</f>
        <v>31614.240000000002</v>
      </c>
      <c r="F8" s="949">
        <f>SUM($E8*F$4)</f>
        <v>17387.832000000002</v>
      </c>
      <c r="G8" s="407">
        <f t="shared" si="0"/>
        <v>0</v>
      </c>
      <c r="H8" s="949">
        <f t="shared" si="0"/>
        <v>0</v>
      </c>
      <c r="I8" s="407">
        <f t="shared" si="0"/>
        <v>1580.7120000000002</v>
      </c>
      <c r="J8" s="503">
        <f>SUM(F8:I8)</f>
        <v>18968.544000000002</v>
      </c>
      <c r="K8" s="949">
        <f>SUM($E8*K$4)</f>
        <v>790.35600000000011</v>
      </c>
      <c r="L8" s="407">
        <f t="shared" si="1"/>
        <v>0</v>
      </c>
      <c r="M8" s="949">
        <f t="shared" si="1"/>
        <v>2371.0680000000002</v>
      </c>
      <c r="N8" s="407">
        <f t="shared" si="1"/>
        <v>9484.2720000000008</v>
      </c>
      <c r="O8" s="502">
        <f>SUM(J8:N8)</f>
        <v>31614.240000000002</v>
      </c>
      <c r="Q8" s="509">
        <f>SUM(M8+N8)</f>
        <v>11855.34</v>
      </c>
      <c r="R8" s="509"/>
    </row>
    <row r="9" spans="1:18" s="502" customFormat="1" ht="15" customHeight="1">
      <c r="A9" s="510"/>
      <c r="B9" s="505" t="s">
        <v>243</v>
      </c>
      <c r="E9" s="502">
        <f t="shared" ref="E9:N9" si="2">SUM(E5:E8)</f>
        <v>188068.24</v>
      </c>
      <c r="F9" s="950">
        <f t="shared" si="2"/>
        <v>103437.53200000001</v>
      </c>
      <c r="G9" s="502">
        <f t="shared" si="2"/>
        <v>0</v>
      </c>
      <c r="H9" s="950">
        <f t="shared" si="2"/>
        <v>0</v>
      </c>
      <c r="I9" s="502">
        <f t="shared" si="2"/>
        <v>9403.4120000000003</v>
      </c>
      <c r="J9" s="503">
        <f t="shared" si="2"/>
        <v>112840.94400000002</v>
      </c>
      <c r="K9" s="950">
        <f t="shared" si="2"/>
        <v>4701.7060000000001</v>
      </c>
      <c r="L9" s="502">
        <f t="shared" si="2"/>
        <v>0</v>
      </c>
      <c r="M9" s="950">
        <f t="shared" si="2"/>
        <v>14105.118000000002</v>
      </c>
      <c r="N9" s="502">
        <f t="shared" si="2"/>
        <v>56420.472000000009</v>
      </c>
      <c r="O9" s="502">
        <f>SUM(J9:N9)</f>
        <v>188068.24000000005</v>
      </c>
      <c r="Q9" s="511">
        <f>SUM(Q5:Q8)</f>
        <v>70525.59</v>
      </c>
      <c r="R9" s="511"/>
    </row>
    <row r="10" spans="1:18" ht="7.9" customHeight="1">
      <c r="A10" s="505"/>
      <c r="B10" s="505"/>
      <c r="C10" s="501"/>
      <c r="D10" s="502"/>
      <c r="F10" s="949"/>
      <c r="G10" s="407"/>
      <c r="H10" s="949"/>
      <c r="I10" s="407"/>
      <c r="J10" s="503"/>
      <c r="K10" s="949"/>
      <c r="L10" s="407"/>
      <c r="M10" s="949"/>
      <c r="N10" s="407"/>
      <c r="O10" s="502"/>
      <c r="Q10" s="509"/>
      <c r="R10" s="509"/>
    </row>
    <row r="11" spans="1:18" ht="15" customHeight="1">
      <c r="A11" s="512" t="s">
        <v>219</v>
      </c>
      <c r="B11" s="512"/>
      <c r="F11" s="948">
        <v>0.2</v>
      </c>
      <c r="G11" s="507"/>
      <c r="H11" s="948"/>
      <c r="I11" s="507"/>
      <c r="J11" s="503"/>
      <c r="K11" s="948">
        <v>2.5000000000000001E-2</v>
      </c>
      <c r="L11" s="507"/>
      <c r="M11" s="948">
        <v>0.22500000000000001</v>
      </c>
      <c r="N11" s="507">
        <v>0.55000000000000004</v>
      </c>
      <c r="O11" s="502"/>
      <c r="Q11" s="507">
        <f>SUM(F11:O11)</f>
        <v>1</v>
      </c>
    </row>
    <row r="12" spans="1:18" s="513" customFormat="1" ht="15" customHeight="1">
      <c r="A12" s="505"/>
      <c r="B12" s="508" t="s">
        <v>199</v>
      </c>
      <c r="C12" s="501">
        <v>1</v>
      </c>
      <c r="D12" s="407">
        <f>SUM('2022-23 Wages &amp; Benefits'!F6)</f>
        <v>48395.256754359383</v>
      </c>
      <c r="E12" s="407">
        <f>SUM(D12*C12)</f>
        <v>48395.256754359383</v>
      </c>
      <c r="F12" s="949">
        <f>SUM($E12*F$11)</f>
        <v>9679.0513508718777</v>
      </c>
      <c r="G12" s="407">
        <f t="shared" ref="G12:I15" si="3">SUM($E12*G$11)</f>
        <v>0</v>
      </c>
      <c r="H12" s="949">
        <f t="shared" si="3"/>
        <v>0</v>
      </c>
      <c r="I12" s="407">
        <f t="shared" si="3"/>
        <v>0</v>
      </c>
      <c r="J12" s="503">
        <f>SUM(F12:I12)</f>
        <v>9679.0513508718777</v>
      </c>
      <c r="K12" s="949">
        <f>SUM($E12*K$11)</f>
        <v>1209.8814188589847</v>
      </c>
      <c r="L12" s="407">
        <f t="shared" ref="L12:N15" si="4">SUM($E12*L$11)</f>
        <v>0</v>
      </c>
      <c r="M12" s="949">
        <f t="shared" si="4"/>
        <v>10888.932769730862</v>
      </c>
      <c r="N12" s="407">
        <f t="shared" si="4"/>
        <v>26617.391214897663</v>
      </c>
      <c r="O12" s="502">
        <f>SUM(J12:N12)</f>
        <v>48395.25675435939</v>
      </c>
      <c r="Q12" s="514"/>
    </row>
    <row r="13" spans="1:18">
      <c r="B13" s="508" t="s">
        <v>198</v>
      </c>
      <c r="C13" s="501"/>
      <c r="D13" s="502"/>
      <c r="E13" s="407">
        <f>SUM('2022-23 Wages &amp; Benefits'!Y6)</f>
        <v>6688.2244834524663</v>
      </c>
      <c r="F13" s="949">
        <f>SUM($E13*F$11)</f>
        <v>1337.6448966904934</v>
      </c>
      <c r="G13" s="407">
        <f t="shared" si="3"/>
        <v>0</v>
      </c>
      <c r="H13" s="949">
        <f t="shared" si="3"/>
        <v>0</v>
      </c>
      <c r="I13" s="407">
        <f t="shared" si="3"/>
        <v>0</v>
      </c>
      <c r="J13" s="503">
        <f>SUM(F13:I13)</f>
        <v>1337.6448966904934</v>
      </c>
      <c r="K13" s="949">
        <f>SUM($E13*K$11)</f>
        <v>167.20561208631167</v>
      </c>
      <c r="L13" s="407">
        <f t="shared" si="4"/>
        <v>0</v>
      </c>
      <c r="M13" s="949">
        <f t="shared" si="4"/>
        <v>1504.8505087768049</v>
      </c>
      <c r="N13" s="407">
        <f t="shared" si="4"/>
        <v>3678.5234658988566</v>
      </c>
      <c r="O13" s="502">
        <f>SUM(J13:N13)</f>
        <v>6688.2244834524663</v>
      </c>
    </row>
    <row r="14" spans="1:18">
      <c r="A14" s="505"/>
      <c r="B14" s="508" t="s">
        <v>260</v>
      </c>
      <c r="C14" s="501"/>
      <c r="D14" s="502"/>
      <c r="E14" s="407">
        <f>SUM('2022-23 Wages &amp; Benefits'!M6)</f>
        <v>21064.48</v>
      </c>
      <c r="F14" s="949">
        <f>SUM($E14*F$11)</f>
        <v>4212.8959999999997</v>
      </c>
      <c r="G14" s="407">
        <f t="shared" si="3"/>
        <v>0</v>
      </c>
      <c r="H14" s="949">
        <f t="shared" si="3"/>
        <v>0</v>
      </c>
      <c r="I14" s="407">
        <f t="shared" si="3"/>
        <v>0</v>
      </c>
      <c r="J14" s="503">
        <f>SUM(F14:I14)</f>
        <v>4212.8959999999997</v>
      </c>
      <c r="K14" s="949">
        <f>SUM($E14*K$11)</f>
        <v>526.61199999999997</v>
      </c>
      <c r="L14" s="407">
        <f t="shared" si="4"/>
        <v>0</v>
      </c>
      <c r="M14" s="949">
        <f t="shared" si="4"/>
        <v>4739.5079999999998</v>
      </c>
      <c r="N14" s="407">
        <f t="shared" si="4"/>
        <v>11585.464</v>
      </c>
      <c r="O14" s="502">
        <f>SUM(J14:N14)</f>
        <v>21064.48</v>
      </c>
      <c r="Q14" s="407"/>
    </row>
    <row r="15" spans="1:18">
      <c r="B15" s="508" t="s">
        <v>282</v>
      </c>
      <c r="C15" s="501"/>
      <c r="D15" s="502"/>
      <c r="E15" s="407">
        <f>SUM('2022-23 Wages &amp; Benefits'!P6)</f>
        <v>13144.151734484009</v>
      </c>
      <c r="F15" s="949">
        <f>SUM($E15*F$11)</f>
        <v>2628.830346896802</v>
      </c>
      <c r="G15" s="407">
        <f t="shared" si="3"/>
        <v>0</v>
      </c>
      <c r="H15" s="949">
        <f t="shared" si="3"/>
        <v>0</v>
      </c>
      <c r="I15" s="407">
        <f t="shared" si="3"/>
        <v>0</v>
      </c>
      <c r="J15" s="503">
        <f>SUM(F15:I15)</f>
        <v>2628.830346896802</v>
      </c>
      <c r="K15" s="949">
        <f>SUM($E15*K$11)</f>
        <v>328.60379336210025</v>
      </c>
      <c r="L15" s="407">
        <f t="shared" si="4"/>
        <v>0</v>
      </c>
      <c r="M15" s="949">
        <f t="shared" si="4"/>
        <v>2957.4341402589021</v>
      </c>
      <c r="N15" s="407">
        <f t="shared" si="4"/>
        <v>7229.2834539662053</v>
      </c>
      <c r="O15" s="502">
        <f>SUM(J15:N15)</f>
        <v>13144.15173448401</v>
      </c>
      <c r="Q15" s="407"/>
    </row>
    <row r="16" spans="1:18" ht="15" customHeight="1">
      <c r="A16" s="505"/>
      <c r="B16" s="505" t="s">
        <v>284</v>
      </c>
      <c r="C16" s="501"/>
      <c r="D16" s="502"/>
      <c r="E16" s="502">
        <f t="shared" ref="E16:N16" si="5">SUM(E12:E15)</f>
        <v>89292.112972295858</v>
      </c>
      <c r="F16" s="950">
        <f t="shared" si="5"/>
        <v>17858.422594459171</v>
      </c>
      <c r="G16" s="502">
        <f t="shared" si="5"/>
        <v>0</v>
      </c>
      <c r="H16" s="950">
        <f t="shared" si="5"/>
        <v>0</v>
      </c>
      <c r="I16" s="502">
        <f t="shared" si="5"/>
        <v>0</v>
      </c>
      <c r="J16" s="503">
        <f t="shared" si="5"/>
        <v>17858.422594459171</v>
      </c>
      <c r="K16" s="950">
        <f t="shared" si="5"/>
        <v>2232.3028243073963</v>
      </c>
      <c r="L16" s="502">
        <f t="shared" si="5"/>
        <v>0</v>
      </c>
      <c r="M16" s="950">
        <f t="shared" si="5"/>
        <v>20090.725418766568</v>
      </c>
      <c r="N16" s="502">
        <f t="shared" si="5"/>
        <v>49110.66213476273</v>
      </c>
      <c r="O16" s="502">
        <f>SUM(J16:N16)</f>
        <v>89292.112972295872</v>
      </c>
      <c r="P16" s="515">
        <f>SUM(O12:O15)</f>
        <v>89292.112972295872</v>
      </c>
      <c r="Q16" s="507"/>
    </row>
    <row r="17" spans="1:17" ht="7.9" customHeight="1">
      <c r="B17" s="505"/>
      <c r="C17" s="501"/>
      <c r="D17" s="502"/>
      <c r="F17" s="949"/>
      <c r="G17" s="407"/>
      <c r="H17" s="949"/>
      <c r="I17" s="407"/>
      <c r="J17" s="503"/>
      <c r="K17" s="949"/>
      <c r="L17" s="407"/>
      <c r="M17" s="949"/>
      <c r="N17" s="407"/>
      <c r="O17" s="502"/>
      <c r="Q17" s="507"/>
    </row>
    <row r="18" spans="1:17" ht="15" customHeight="1">
      <c r="A18" s="505" t="s">
        <v>208</v>
      </c>
      <c r="B18" s="505"/>
      <c r="C18" s="501"/>
      <c r="D18" s="502"/>
      <c r="F18" s="948">
        <v>0.15</v>
      </c>
      <c r="G18" s="507"/>
      <c r="H18" s="947"/>
      <c r="I18" s="507"/>
      <c r="J18" s="503"/>
      <c r="K18" s="948">
        <v>2.5000000000000001E-2</v>
      </c>
      <c r="L18" s="507">
        <v>0.05</v>
      </c>
      <c r="M18" s="948">
        <v>0.27500000000000002</v>
      </c>
      <c r="N18" s="507">
        <v>0.5</v>
      </c>
      <c r="O18" s="502"/>
      <c r="Q18" s="507">
        <f>SUM(F18:O18)</f>
        <v>1</v>
      </c>
    </row>
    <row r="19" spans="1:17" s="513" customFormat="1" ht="15" customHeight="1">
      <c r="A19" s="505"/>
      <c r="B19" s="508" t="s">
        <v>199</v>
      </c>
      <c r="C19" s="501">
        <v>0.6</v>
      </c>
      <c r="D19" s="407">
        <f>SUM('2022-23 Wages &amp; Benefits'!F7)</f>
        <v>48395.256754359383</v>
      </c>
      <c r="E19" s="407">
        <f>SUM(D19*C19)</f>
        <v>29037.154052615628</v>
      </c>
      <c r="F19" s="949">
        <f>SUM($E19*F$18)</f>
        <v>4355.5731078923436</v>
      </c>
      <c r="G19" s="407">
        <f t="shared" ref="G19:I22" si="6">SUM($E19*G$18)</f>
        <v>0</v>
      </c>
      <c r="H19" s="949">
        <f t="shared" si="6"/>
        <v>0</v>
      </c>
      <c r="I19" s="407">
        <f t="shared" si="6"/>
        <v>0</v>
      </c>
      <c r="J19" s="503">
        <f>SUM(F19:I19)</f>
        <v>4355.5731078923436</v>
      </c>
      <c r="K19" s="949">
        <f>SUM($E19*K$18)</f>
        <v>725.92885131539072</v>
      </c>
      <c r="L19" s="407">
        <f t="shared" ref="L19:N22" si="7">SUM($E19*L$18)</f>
        <v>1451.8577026307814</v>
      </c>
      <c r="M19" s="949">
        <f t="shared" si="7"/>
        <v>7985.2173644692984</v>
      </c>
      <c r="N19" s="407">
        <f t="shared" si="7"/>
        <v>14518.577026307814</v>
      </c>
      <c r="O19" s="502">
        <f>SUM(J19:N19)</f>
        <v>29037.154052615628</v>
      </c>
      <c r="Q19" s="514"/>
    </row>
    <row r="20" spans="1:17">
      <c r="B20" s="508" t="s">
        <v>198</v>
      </c>
      <c r="C20" s="501"/>
      <c r="D20" s="502"/>
      <c r="E20" s="407">
        <f>SUM('2022-23 Wages &amp; Benefits'!O7)</f>
        <v>4012.9346900714795</v>
      </c>
      <c r="F20" s="949">
        <f>SUM($E20*F$18)</f>
        <v>601.94020351072186</v>
      </c>
      <c r="G20" s="407">
        <f t="shared" si="6"/>
        <v>0</v>
      </c>
      <c r="H20" s="949">
        <f t="shared" si="6"/>
        <v>0</v>
      </c>
      <c r="I20" s="407">
        <f t="shared" si="6"/>
        <v>0</v>
      </c>
      <c r="J20" s="503">
        <f>SUM(F20:I20)</f>
        <v>601.94020351072186</v>
      </c>
      <c r="K20" s="949">
        <f>SUM($E20*K$18)</f>
        <v>100.32336725178699</v>
      </c>
      <c r="L20" s="407">
        <f t="shared" si="7"/>
        <v>200.64673450357398</v>
      </c>
      <c r="M20" s="949">
        <f t="shared" si="7"/>
        <v>1103.557039769657</v>
      </c>
      <c r="N20" s="407">
        <f t="shared" si="7"/>
        <v>2006.4673450357398</v>
      </c>
      <c r="O20" s="502">
        <f>SUM(J20:N20)</f>
        <v>4012.9346900714795</v>
      </c>
    </row>
    <row r="21" spans="1:17">
      <c r="A21" s="505"/>
      <c r="B21" s="508" t="s">
        <v>260</v>
      </c>
      <c r="C21" s="501"/>
      <c r="D21" s="502"/>
      <c r="E21" s="407">
        <f>SUM('2022-23 Wages &amp; Benefits'!M7)</f>
        <v>0</v>
      </c>
      <c r="F21" s="949">
        <f>SUM($E21*F$18)</f>
        <v>0</v>
      </c>
      <c r="G21" s="407">
        <f t="shared" si="6"/>
        <v>0</v>
      </c>
      <c r="H21" s="949">
        <f t="shared" si="6"/>
        <v>0</v>
      </c>
      <c r="I21" s="407">
        <f t="shared" si="6"/>
        <v>0</v>
      </c>
      <c r="J21" s="503">
        <f>SUM(F21:I21)</f>
        <v>0</v>
      </c>
      <c r="K21" s="949">
        <f>SUM($E21*K$18)</f>
        <v>0</v>
      </c>
      <c r="L21" s="407">
        <f t="shared" si="7"/>
        <v>0</v>
      </c>
      <c r="M21" s="949">
        <f t="shared" si="7"/>
        <v>0</v>
      </c>
      <c r="N21" s="407">
        <f t="shared" si="7"/>
        <v>0</v>
      </c>
      <c r="O21" s="502">
        <f>SUM(J21:N21)</f>
        <v>0</v>
      </c>
      <c r="Q21" s="407"/>
    </row>
    <row r="22" spans="1:17">
      <c r="B22" s="508" t="s">
        <v>282</v>
      </c>
      <c r="C22" s="501"/>
      <c r="D22" s="502"/>
      <c r="E22" s="407">
        <f>SUM('2022-23 Wages &amp; Benefits'!P7)</f>
        <v>7886.4910406904046</v>
      </c>
      <c r="F22" s="949">
        <f>SUM($E22*F$18)</f>
        <v>1182.9736561035606</v>
      </c>
      <c r="G22" s="407">
        <f t="shared" si="6"/>
        <v>0</v>
      </c>
      <c r="H22" s="949">
        <f t="shared" si="6"/>
        <v>0</v>
      </c>
      <c r="I22" s="407">
        <f t="shared" si="6"/>
        <v>0</v>
      </c>
      <c r="J22" s="503">
        <f>SUM(F22:I22)</f>
        <v>1182.9736561035606</v>
      </c>
      <c r="K22" s="949">
        <f>SUM($E22*K$18)</f>
        <v>197.16227601726013</v>
      </c>
      <c r="L22" s="407">
        <f t="shared" si="7"/>
        <v>394.32455203452025</v>
      </c>
      <c r="M22" s="949">
        <f t="shared" si="7"/>
        <v>2168.7850361898613</v>
      </c>
      <c r="N22" s="407">
        <f t="shared" si="7"/>
        <v>3943.2455203452023</v>
      </c>
      <c r="O22" s="502">
        <f>SUM(J22:N22)</f>
        <v>7886.4910406904046</v>
      </c>
      <c r="Q22" s="407"/>
    </row>
    <row r="23" spans="1:17" ht="15" customHeight="1">
      <c r="A23" s="505"/>
      <c r="B23" s="505" t="s">
        <v>284</v>
      </c>
      <c r="C23" s="501"/>
      <c r="D23" s="502"/>
      <c r="E23" s="502">
        <f>SUM(E19:E22)</f>
        <v>40936.579783377507</v>
      </c>
      <c r="F23" s="950">
        <f>SUM(F19:F22)</f>
        <v>6140.4869675066257</v>
      </c>
      <c r="G23" s="502">
        <f>SUM(G19:G19)</f>
        <v>0</v>
      </c>
      <c r="H23" s="950">
        <f>SUM(H19:H19)</f>
        <v>0</v>
      </c>
      <c r="I23" s="502">
        <f>SUM(I19:I19)</f>
        <v>0</v>
      </c>
      <c r="J23" s="503">
        <f>SUM(J19:J22)</f>
        <v>6140.4869675066257</v>
      </c>
      <c r="K23" s="953">
        <f>SUM(K19:K22)</f>
        <v>1023.4144945844378</v>
      </c>
      <c r="L23" s="503">
        <f>SUM(L19:L22)</f>
        <v>2046.8289891688755</v>
      </c>
      <c r="M23" s="953">
        <f>SUM(M19:M22)</f>
        <v>11257.559440428817</v>
      </c>
      <c r="N23" s="503">
        <f>SUM(N19:N22)</f>
        <v>20468.289891688753</v>
      </c>
      <c r="O23" s="502">
        <f>SUM(J23:N23)</f>
        <v>40936.579783377514</v>
      </c>
      <c r="P23" s="515">
        <f>SUM(O19:O22)</f>
        <v>40936.579783377507</v>
      </c>
      <c r="Q23" s="507"/>
    </row>
    <row r="24" spans="1:17" ht="7.9" customHeight="1">
      <c r="B24" s="505"/>
      <c r="C24" s="501"/>
      <c r="D24" s="502"/>
      <c r="F24" s="949"/>
      <c r="G24" s="407"/>
      <c r="H24" s="949"/>
      <c r="I24" s="407"/>
      <c r="J24" s="503"/>
      <c r="K24" s="949"/>
      <c r="L24" s="407"/>
      <c r="M24" s="949"/>
      <c r="N24" s="407"/>
      <c r="O24" s="502"/>
      <c r="Q24" s="507"/>
    </row>
    <row r="25" spans="1:17" ht="15" customHeight="1">
      <c r="A25" s="505" t="s">
        <v>226</v>
      </c>
      <c r="B25" s="505"/>
      <c r="C25" s="501"/>
      <c r="D25" s="502"/>
      <c r="F25" s="949"/>
      <c r="G25" s="407"/>
      <c r="H25" s="948">
        <v>1</v>
      </c>
      <c r="I25" s="407"/>
      <c r="J25" s="516"/>
      <c r="K25" s="949"/>
      <c r="L25" s="407"/>
      <c r="M25" s="949"/>
      <c r="N25" s="407"/>
      <c r="O25" s="502">
        <f t="shared" ref="O25:O30" si="8">SUM(J25:N25)</f>
        <v>0</v>
      </c>
      <c r="Q25" s="507"/>
    </row>
    <row r="26" spans="1:17" s="513" customFormat="1" ht="15" customHeight="1">
      <c r="A26" s="505"/>
      <c r="B26" s="508" t="s">
        <v>199</v>
      </c>
      <c r="C26" s="501">
        <v>0.4</v>
      </c>
      <c r="D26" s="407">
        <f>SUM('2022-23 Wages &amp; Benefits'!F9)</f>
        <v>41407.589999999997</v>
      </c>
      <c r="E26" s="407">
        <f>SUM(D26*C26)</f>
        <v>16563.036</v>
      </c>
      <c r="F26" s="949">
        <f>SUM($E26*F$25)</f>
        <v>0</v>
      </c>
      <c r="G26" s="407">
        <f t="shared" ref="G26:I29" si="9">SUM($E26*G$25)</f>
        <v>0</v>
      </c>
      <c r="H26" s="949">
        <f t="shared" si="9"/>
        <v>16563.036</v>
      </c>
      <c r="I26" s="407">
        <f t="shared" si="9"/>
        <v>0</v>
      </c>
      <c r="J26" s="503">
        <f>SUM(F26:I26)</f>
        <v>16563.036</v>
      </c>
      <c r="K26" s="949">
        <f>SUM($E26*K$25)</f>
        <v>0</v>
      </c>
      <c r="L26" s="407">
        <f t="shared" ref="L26:N29" si="10">SUM($E26*L$25)</f>
        <v>0</v>
      </c>
      <c r="M26" s="949">
        <f t="shared" si="10"/>
        <v>0</v>
      </c>
      <c r="N26" s="407">
        <f t="shared" si="10"/>
        <v>0</v>
      </c>
      <c r="O26" s="502">
        <f t="shared" si="8"/>
        <v>16563.036</v>
      </c>
      <c r="Q26" s="514"/>
    </row>
    <row r="27" spans="1:17">
      <c r="B27" s="508" t="s">
        <v>198</v>
      </c>
      <c r="C27" s="501"/>
      <c r="D27" s="502"/>
      <c r="E27" s="407">
        <f>SUM('2022-23 Wages &amp; Benefits'!O9)</f>
        <v>0</v>
      </c>
      <c r="F27" s="949">
        <f>SUM($E27*F$25)</f>
        <v>0</v>
      </c>
      <c r="G27" s="407">
        <f t="shared" si="9"/>
        <v>0</v>
      </c>
      <c r="H27" s="949">
        <f t="shared" si="9"/>
        <v>0</v>
      </c>
      <c r="I27" s="407">
        <f t="shared" si="9"/>
        <v>0</v>
      </c>
      <c r="J27" s="503">
        <f>SUM(F27:I27)</f>
        <v>0</v>
      </c>
      <c r="K27" s="949">
        <f>SUM($E27*K$25)</f>
        <v>0</v>
      </c>
      <c r="L27" s="407">
        <f t="shared" si="10"/>
        <v>0</v>
      </c>
      <c r="M27" s="949">
        <f t="shared" si="10"/>
        <v>0</v>
      </c>
      <c r="N27" s="407">
        <f t="shared" si="10"/>
        <v>0</v>
      </c>
      <c r="O27" s="502">
        <f t="shared" si="8"/>
        <v>0</v>
      </c>
    </row>
    <row r="28" spans="1:17">
      <c r="A28" s="505"/>
      <c r="B28" s="508" t="s">
        <v>260</v>
      </c>
      <c r="C28" s="501"/>
      <c r="D28" s="502"/>
      <c r="E28" s="407">
        <f>SUM('2022-23 Wages &amp; Benefits'!M9)</f>
        <v>0</v>
      </c>
      <c r="F28" s="949">
        <f>SUM($E28*F$25)</f>
        <v>0</v>
      </c>
      <c r="G28" s="407">
        <f t="shared" si="9"/>
        <v>0</v>
      </c>
      <c r="H28" s="949">
        <f t="shared" si="9"/>
        <v>0</v>
      </c>
      <c r="I28" s="407">
        <f t="shared" si="9"/>
        <v>0</v>
      </c>
      <c r="J28" s="503">
        <f>SUM(F28:I28)</f>
        <v>0</v>
      </c>
      <c r="K28" s="949">
        <f>SUM($E28*K$25)</f>
        <v>0</v>
      </c>
      <c r="L28" s="407">
        <f t="shared" si="10"/>
        <v>0</v>
      </c>
      <c r="M28" s="949">
        <f t="shared" si="10"/>
        <v>0</v>
      </c>
      <c r="N28" s="407">
        <f t="shared" si="10"/>
        <v>0</v>
      </c>
      <c r="O28" s="502">
        <f t="shared" si="8"/>
        <v>0</v>
      </c>
      <c r="Q28" s="407"/>
    </row>
    <row r="29" spans="1:17">
      <c r="B29" s="508" t="s">
        <v>282</v>
      </c>
      <c r="C29" s="501"/>
      <c r="D29" s="502"/>
      <c r="E29" s="407">
        <f>SUM('2022-23 Wages &amp; Benefits'!P9)</f>
        <v>0</v>
      </c>
      <c r="F29" s="949">
        <f>SUM($E29*F$25)</f>
        <v>0</v>
      </c>
      <c r="G29" s="407">
        <f t="shared" si="9"/>
        <v>0</v>
      </c>
      <c r="H29" s="949">
        <f t="shared" si="9"/>
        <v>0</v>
      </c>
      <c r="I29" s="407">
        <f t="shared" si="9"/>
        <v>0</v>
      </c>
      <c r="J29" s="503">
        <f>SUM(F29:I29)</f>
        <v>0</v>
      </c>
      <c r="K29" s="949">
        <f>SUM($E29*K$25)</f>
        <v>0</v>
      </c>
      <c r="L29" s="407">
        <f t="shared" si="10"/>
        <v>0</v>
      </c>
      <c r="M29" s="949">
        <f t="shared" si="10"/>
        <v>0</v>
      </c>
      <c r="N29" s="407">
        <f t="shared" si="10"/>
        <v>0</v>
      </c>
      <c r="O29" s="502">
        <f t="shared" si="8"/>
        <v>0</v>
      </c>
      <c r="Q29" s="407"/>
    </row>
    <row r="30" spans="1:17" ht="15" customHeight="1">
      <c r="A30" s="505"/>
      <c r="B30" s="505" t="s">
        <v>284</v>
      </c>
      <c r="C30" s="501"/>
      <c r="D30" s="502"/>
      <c r="E30" s="502">
        <f t="shared" ref="E30:N30" si="11">SUM(E26:E29)</f>
        <v>16563.036</v>
      </c>
      <c r="F30" s="950">
        <f t="shared" si="11"/>
        <v>0</v>
      </c>
      <c r="G30" s="502">
        <f t="shared" si="11"/>
        <v>0</v>
      </c>
      <c r="H30" s="950">
        <f t="shared" si="11"/>
        <v>16563.036</v>
      </c>
      <c r="I30" s="502">
        <f t="shared" si="11"/>
        <v>0</v>
      </c>
      <c r="J30" s="503">
        <f t="shared" si="11"/>
        <v>16563.036</v>
      </c>
      <c r="K30" s="950">
        <f t="shared" si="11"/>
        <v>0</v>
      </c>
      <c r="L30" s="502">
        <f t="shared" si="11"/>
        <v>0</v>
      </c>
      <c r="M30" s="950">
        <f t="shared" si="11"/>
        <v>0</v>
      </c>
      <c r="N30" s="502">
        <f t="shared" si="11"/>
        <v>0</v>
      </c>
      <c r="O30" s="502">
        <f t="shared" si="8"/>
        <v>16563.036</v>
      </c>
      <c r="P30" s="515">
        <f>SUM(O26:O29)</f>
        <v>16563.036</v>
      </c>
      <c r="Q30" s="507"/>
    </row>
    <row r="31" spans="1:17" ht="7.9" customHeight="1">
      <c r="B31" s="505"/>
      <c r="C31" s="501"/>
      <c r="D31" s="502"/>
      <c r="F31" s="949"/>
      <c r="G31" s="407"/>
      <c r="H31" s="949"/>
      <c r="I31" s="407"/>
      <c r="J31" s="503"/>
      <c r="K31" s="949"/>
      <c r="L31" s="407"/>
      <c r="M31" s="949"/>
      <c r="N31" s="407"/>
      <c r="O31" s="502"/>
      <c r="Q31" s="507"/>
    </row>
    <row r="32" spans="1:17">
      <c r="A32" s="505" t="s">
        <v>211</v>
      </c>
      <c r="B32" s="508"/>
      <c r="C32" s="501"/>
      <c r="D32" s="502"/>
      <c r="F32" s="948"/>
      <c r="G32" s="507"/>
      <c r="H32" s="948"/>
      <c r="I32" s="507"/>
      <c r="J32" s="503"/>
      <c r="K32" s="948">
        <v>0.05</v>
      </c>
      <c r="L32" s="507">
        <v>0.1</v>
      </c>
      <c r="M32" s="948">
        <v>0.25</v>
      </c>
      <c r="N32" s="507">
        <v>0.6</v>
      </c>
      <c r="O32" s="502"/>
      <c r="Q32" s="507">
        <f>SUM(F32:O32)</f>
        <v>1</v>
      </c>
    </row>
    <row r="33" spans="1:17" ht="15" customHeight="1">
      <c r="A33" s="505"/>
      <c r="B33" s="508" t="s">
        <v>199</v>
      </c>
      <c r="C33" s="501">
        <v>1</v>
      </c>
      <c r="D33" s="801">
        <f>SUM('2022-23 Wages &amp; Benefits'!K10)</f>
        <v>75496.776663656259</v>
      </c>
      <c r="E33" s="407">
        <f>SUM(D33*C33)</f>
        <v>75496.776663656259</v>
      </c>
      <c r="F33" s="949">
        <f>SUM($E33*F$32)</f>
        <v>0</v>
      </c>
      <c r="G33" s="407">
        <f t="shared" ref="G33:I36" si="12">SUM($E33*G$32)</f>
        <v>0</v>
      </c>
      <c r="H33" s="949">
        <f t="shared" si="12"/>
        <v>0</v>
      </c>
      <c r="I33" s="407">
        <f t="shared" si="12"/>
        <v>0</v>
      </c>
      <c r="J33" s="503">
        <f>SUM(F33:I33)</f>
        <v>0</v>
      </c>
      <c r="K33" s="949">
        <f>SUM($E33*K$32)</f>
        <v>3774.8388331828132</v>
      </c>
      <c r="L33" s="407">
        <f t="shared" ref="L33:N36" si="13">SUM($E33*L$32)</f>
        <v>7549.6776663656265</v>
      </c>
      <c r="M33" s="949">
        <f t="shared" si="13"/>
        <v>18874.194165914065</v>
      </c>
      <c r="N33" s="407">
        <f t="shared" si="13"/>
        <v>45298.065998193757</v>
      </c>
      <c r="O33" s="502">
        <f>SUM(J33:N33)</f>
        <v>75496.776663656259</v>
      </c>
      <c r="Q33" s="517">
        <f>SUM(Q32:Q32)</f>
        <v>1</v>
      </c>
    </row>
    <row r="34" spans="1:17" ht="15" customHeight="1">
      <c r="A34" s="505"/>
      <c r="B34" s="508" t="s">
        <v>198</v>
      </c>
      <c r="C34" s="501"/>
      <c r="D34" s="801"/>
      <c r="E34" s="407">
        <f>SUM('2022-23 Wages &amp; Benefits'!O10)</f>
        <v>10433.654534917294</v>
      </c>
      <c r="F34" s="949">
        <f>SUM($E34*F$32)</f>
        <v>0</v>
      </c>
      <c r="G34" s="407">
        <f t="shared" si="12"/>
        <v>0</v>
      </c>
      <c r="H34" s="949">
        <f t="shared" si="12"/>
        <v>0</v>
      </c>
      <c r="I34" s="407">
        <f t="shared" si="12"/>
        <v>0</v>
      </c>
      <c r="J34" s="503">
        <f>SUM(F34:I34)</f>
        <v>0</v>
      </c>
      <c r="K34" s="949">
        <f>SUM($E34*K$32)</f>
        <v>521.68272674586467</v>
      </c>
      <c r="L34" s="407">
        <f t="shared" si="13"/>
        <v>1043.3654534917293</v>
      </c>
      <c r="M34" s="949">
        <f t="shared" si="13"/>
        <v>2608.4136337293235</v>
      </c>
      <c r="N34" s="407">
        <f t="shared" si="13"/>
        <v>6260.1927209503765</v>
      </c>
      <c r="O34" s="502">
        <f>SUM(J34:N34)</f>
        <v>10433.654534917294</v>
      </c>
      <c r="Q34" s="507"/>
    </row>
    <row r="35" spans="1:17">
      <c r="A35" s="505"/>
      <c r="B35" s="508" t="s">
        <v>260</v>
      </c>
      <c r="C35" s="501"/>
      <c r="D35" s="801"/>
      <c r="E35" s="407">
        <f>SUM('2022-23 Wages &amp; Benefits'!M10)</f>
        <v>18122.560000000001</v>
      </c>
      <c r="F35" s="949">
        <f>SUM($E35*F$32)</f>
        <v>0</v>
      </c>
      <c r="G35" s="407">
        <f t="shared" si="12"/>
        <v>0</v>
      </c>
      <c r="H35" s="949">
        <f t="shared" si="12"/>
        <v>0</v>
      </c>
      <c r="I35" s="407">
        <f t="shared" si="12"/>
        <v>0</v>
      </c>
      <c r="J35" s="503">
        <f>SUM(F35:I35)</f>
        <v>0</v>
      </c>
      <c r="K35" s="949">
        <f>SUM($E35*K$32)</f>
        <v>906.12800000000016</v>
      </c>
      <c r="L35" s="407">
        <f t="shared" si="13"/>
        <v>1812.2560000000003</v>
      </c>
      <c r="M35" s="949">
        <f t="shared" si="13"/>
        <v>4530.6400000000003</v>
      </c>
      <c r="N35" s="407">
        <f t="shared" si="13"/>
        <v>10873.536</v>
      </c>
      <c r="O35" s="502">
        <f>SUM(J35:N35)</f>
        <v>18122.560000000001</v>
      </c>
      <c r="Q35" s="518"/>
    </row>
    <row r="36" spans="1:17">
      <c r="A36" s="505"/>
      <c r="B36" s="508" t="s">
        <v>282</v>
      </c>
      <c r="C36" s="501"/>
      <c r="D36" s="801"/>
      <c r="E36" s="407">
        <f>SUM('2022-23 Wages &amp; Benefits'!P10)</f>
        <v>20504.924541849039</v>
      </c>
      <c r="F36" s="949">
        <f>SUM($E36*F$32)</f>
        <v>0</v>
      </c>
      <c r="G36" s="407">
        <f t="shared" si="12"/>
        <v>0</v>
      </c>
      <c r="H36" s="949">
        <f t="shared" si="12"/>
        <v>0</v>
      </c>
      <c r="I36" s="407">
        <f t="shared" si="12"/>
        <v>0</v>
      </c>
      <c r="J36" s="503">
        <f>SUM(F36:I36)</f>
        <v>0</v>
      </c>
      <c r="K36" s="949">
        <f>SUM($E36*K$32)</f>
        <v>1025.246227092452</v>
      </c>
      <c r="L36" s="407">
        <f t="shared" si="13"/>
        <v>2050.4924541849041</v>
      </c>
      <c r="M36" s="949">
        <f t="shared" si="13"/>
        <v>5126.2311354622598</v>
      </c>
      <c r="N36" s="407">
        <f t="shared" si="13"/>
        <v>12302.954725109423</v>
      </c>
      <c r="O36" s="502">
        <f>SUM(J36:N36)</f>
        <v>20504.924541849039</v>
      </c>
      <c r="Q36" s="518"/>
    </row>
    <row r="37" spans="1:17" s="408" customFormat="1">
      <c r="A37" s="510"/>
      <c r="B37" s="505" t="s">
        <v>243</v>
      </c>
      <c r="C37" s="502"/>
      <c r="D37" s="801"/>
      <c r="E37" s="502">
        <f t="shared" ref="E37:N37" si="14">SUM(E33:E36)</f>
        <v>124557.91574042258</v>
      </c>
      <c r="F37" s="950">
        <f t="shared" si="14"/>
        <v>0</v>
      </c>
      <c r="G37" s="502">
        <f t="shared" si="14"/>
        <v>0</v>
      </c>
      <c r="H37" s="950">
        <f t="shared" si="14"/>
        <v>0</v>
      </c>
      <c r="I37" s="502">
        <f t="shared" si="14"/>
        <v>0</v>
      </c>
      <c r="J37" s="503">
        <f t="shared" si="14"/>
        <v>0</v>
      </c>
      <c r="K37" s="950">
        <f t="shared" si="14"/>
        <v>6227.8957870211289</v>
      </c>
      <c r="L37" s="502">
        <f t="shared" si="14"/>
        <v>12455.791574042258</v>
      </c>
      <c r="M37" s="950">
        <f t="shared" si="14"/>
        <v>31139.478935105646</v>
      </c>
      <c r="N37" s="502">
        <f t="shared" si="14"/>
        <v>74734.749444253554</v>
      </c>
      <c r="O37" s="502">
        <f>SUM(J37:N37)</f>
        <v>124557.91574042258</v>
      </c>
      <c r="Q37" s="517"/>
    </row>
    <row r="38" spans="1:17" ht="7.9" customHeight="1">
      <c r="A38" s="505"/>
      <c r="B38" s="508"/>
      <c r="C38" s="501"/>
      <c r="D38" s="801"/>
      <c r="F38" s="948"/>
      <c r="G38" s="507"/>
      <c r="H38" s="948"/>
      <c r="I38" s="507"/>
      <c r="J38" s="503"/>
      <c r="K38" s="948"/>
      <c r="L38" s="507"/>
      <c r="M38" s="948"/>
      <c r="N38" s="507"/>
      <c r="O38" s="502"/>
      <c r="Q38" s="519"/>
    </row>
    <row r="39" spans="1:17" ht="15" customHeight="1">
      <c r="A39" s="505" t="s">
        <v>445</v>
      </c>
      <c r="B39" s="508"/>
      <c r="C39" s="501"/>
      <c r="D39" s="801"/>
      <c r="F39" s="948"/>
      <c r="G39" s="507"/>
      <c r="H39" s="948"/>
      <c r="I39" s="507"/>
      <c r="J39" s="503"/>
      <c r="K39" s="948">
        <v>0.05</v>
      </c>
      <c r="L39" s="507">
        <v>0.1</v>
      </c>
      <c r="M39" s="948">
        <v>0.3</v>
      </c>
      <c r="N39" s="507">
        <v>0.55000000000000004</v>
      </c>
      <c r="O39" s="502"/>
      <c r="Q39" s="507">
        <f>SUM(F39:O39)</f>
        <v>1</v>
      </c>
    </row>
    <row r="40" spans="1:17" ht="15" customHeight="1">
      <c r="A40" s="505"/>
      <c r="B40" s="508" t="s">
        <v>199</v>
      </c>
      <c r="C40" s="501">
        <v>1</v>
      </c>
      <c r="D40" s="801">
        <f>'2022-23 Wages &amp; Benefits'!F11</f>
        <v>59835.604618124999</v>
      </c>
      <c r="E40" s="407">
        <f>SUM(D40*C40)</f>
        <v>59835.604618124999</v>
      </c>
      <c r="F40" s="949">
        <f>SUM($E40*F$39)</f>
        <v>0</v>
      </c>
      <c r="G40" s="407">
        <f t="shared" ref="G40:I43" si="15">SUM($E40*G$39)</f>
        <v>0</v>
      </c>
      <c r="H40" s="949">
        <f t="shared" si="15"/>
        <v>0</v>
      </c>
      <c r="I40" s="407">
        <f t="shared" si="15"/>
        <v>0</v>
      </c>
      <c r="J40" s="503">
        <f>SUM(F40:I40)</f>
        <v>0</v>
      </c>
      <c r="K40" s="949">
        <f>SUM($E40*K$39)</f>
        <v>2991.7802309062499</v>
      </c>
      <c r="L40" s="407">
        <f t="shared" ref="L40:N43" si="16">SUM($E40*L$39)</f>
        <v>5983.5604618124999</v>
      </c>
      <c r="M40" s="949">
        <f t="shared" si="16"/>
        <v>17950.6813854375</v>
      </c>
      <c r="N40" s="407">
        <f t="shared" si="16"/>
        <v>32909.582539968753</v>
      </c>
      <c r="O40" s="502">
        <f>SUM(J40:N40)</f>
        <v>59835.604618124999</v>
      </c>
      <c r="Q40" s="507"/>
    </row>
    <row r="41" spans="1:17">
      <c r="A41" s="505"/>
      <c r="B41" s="508" t="s">
        <v>198</v>
      </c>
      <c r="C41" s="501"/>
      <c r="D41" s="801"/>
      <c r="E41" s="407">
        <f>SUM('2022-23 Wages &amp; Benefits'!O11)</f>
        <v>8269.2805582248748</v>
      </c>
      <c r="F41" s="949">
        <f>SUM($E41*F$39)</f>
        <v>0</v>
      </c>
      <c r="G41" s="407">
        <f t="shared" si="15"/>
        <v>0</v>
      </c>
      <c r="H41" s="949">
        <f t="shared" si="15"/>
        <v>0</v>
      </c>
      <c r="I41" s="407">
        <f t="shared" si="15"/>
        <v>0</v>
      </c>
      <c r="J41" s="503">
        <f>SUM(F41:I41)</f>
        <v>0</v>
      </c>
      <c r="K41" s="949">
        <f>SUM($E41*K$39)</f>
        <v>413.46402791124376</v>
      </c>
      <c r="L41" s="407">
        <f t="shared" si="16"/>
        <v>826.92805582248752</v>
      </c>
      <c r="M41" s="949">
        <f t="shared" si="16"/>
        <v>2480.7841674674623</v>
      </c>
      <c r="N41" s="407">
        <f t="shared" si="16"/>
        <v>4548.1043070236819</v>
      </c>
      <c r="O41" s="502">
        <f>SUM(J41:N41)</f>
        <v>8269.2805582248766</v>
      </c>
      <c r="Q41" s="518"/>
    </row>
    <row r="42" spans="1:17">
      <c r="A42" s="505"/>
      <c r="B42" s="508" t="s">
        <v>260</v>
      </c>
      <c r="C42" s="501"/>
      <c r="D42" s="801"/>
      <c r="E42" s="407">
        <f>SUM('2022-23 Wages &amp; Benefits'!M11)</f>
        <v>23786.080000000002</v>
      </c>
      <c r="F42" s="949">
        <f>SUM($E42*F$39)</f>
        <v>0</v>
      </c>
      <c r="G42" s="407">
        <f t="shared" si="15"/>
        <v>0</v>
      </c>
      <c r="H42" s="949">
        <f t="shared" si="15"/>
        <v>0</v>
      </c>
      <c r="I42" s="407">
        <f t="shared" si="15"/>
        <v>0</v>
      </c>
      <c r="J42" s="503">
        <f>SUM(F42:I42)</f>
        <v>0</v>
      </c>
      <c r="K42" s="949">
        <f>SUM($E42*K$39)</f>
        <v>1189.3040000000001</v>
      </c>
      <c r="L42" s="407">
        <f t="shared" si="16"/>
        <v>2378.6080000000002</v>
      </c>
      <c r="M42" s="949">
        <f t="shared" si="16"/>
        <v>7135.8240000000005</v>
      </c>
      <c r="N42" s="407">
        <f t="shared" si="16"/>
        <v>13082.344000000003</v>
      </c>
      <c r="O42" s="502">
        <f>SUM(J42:N42)</f>
        <v>23786.080000000002</v>
      </c>
      <c r="Q42" s="518"/>
    </row>
    <row r="43" spans="1:17">
      <c r="A43" s="505"/>
      <c r="B43" s="508" t="s">
        <v>282</v>
      </c>
      <c r="C43" s="501"/>
      <c r="D43" s="801"/>
      <c r="E43" s="407">
        <f>SUM('2022-23 Wages &amp; Benefits'!P11)</f>
        <v>16251.350214282749</v>
      </c>
      <c r="F43" s="949">
        <f>SUM($E43*F$39)</f>
        <v>0</v>
      </c>
      <c r="G43" s="407">
        <f t="shared" si="15"/>
        <v>0</v>
      </c>
      <c r="H43" s="949">
        <f t="shared" si="15"/>
        <v>0</v>
      </c>
      <c r="I43" s="407">
        <f t="shared" si="15"/>
        <v>0</v>
      </c>
      <c r="J43" s="503">
        <f>SUM(F43:I43)</f>
        <v>0</v>
      </c>
      <c r="K43" s="949">
        <f>SUM($E43*K$39)</f>
        <v>812.56751071413748</v>
      </c>
      <c r="L43" s="407">
        <f t="shared" si="16"/>
        <v>1625.135021428275</v>
      </c>
      <c r="M43" s="949">
        <f t="shared" si="16"/>
        <v>4875.4050642848242</v>
      </c>
      <c r="N43" s="407">
        <f t="shared" si="16"/>
        <v>8938.2426178555124</v>
      </c>
      <c r="O43" s="502">
        <f>SUM(J43:N43)</f>
        <v>16251.350214282749</v>
      </c>
      <c r="Q43" s="518"/>
    </row>
    <row r="44" spans="1:17" s="408" customFormat="1" ht="15" customHeight="1">
      <c r="A44" s="510"/>
      <c r="B44" s="505" t="s">
        <v>243</v>
      </c>
      <c r="C44" s="502"/>
      <c r="D44" s="801"/>
      <c r="E44" s="502">
        <f t="shared" ref="E44:N44" si="17">SUM(E40:E43)</f>
        <v>108142.31539063262</v>
      </c>
      <c r="F44" s="950">
        <f t="shared" si="17"/>
        <v>0</v>
      </c>
      <c r="G44" s="502">
        <f t="shared" si="17"/>
        <v>0</v>
      </c>
      <c r="H44" s="950">
        <f t="shared" si="17"/>
        <v>0</v>
      </c>
      <c r="I44" s="502">
        <f t="shared" si="17"/>
        <v>0</v>
      </c>
      <c r="J44" s="503">
        <f t="shared" si="17"/>
        <v>0</v>
      </c>
      <c r="K44" s="950">
        <f t="shared" si="17"/>
        <v>5407.1157695316315</v>
      </c>
      <c r="L44" s="502">
        <f t="shared" si="17"/>
        <v>10814.231539063263</v>
      </c>
      <c r="M44" s="950">
        <f t="shared" si="17"/>
        <v>32442.694617189787</v>
      </c>
      <c r="N44" s="502">
        <f t="shared" si="17"/>
        <v>59478.273464847953</v>
      </c>
      <c r="O44" s="502">
        <f>SUM(J44:N44)</f>
        <v>108142.31539063263</v>
      </c>
      <c r="P44" s="520"/>
      <c r="Q44" s="521"/>
    </row>
    <row r="45" spans="1:17" s="408" customFormat="1" ht="7.9" customHeight="1">
      <c r="A45" s="505"/>
      <c r="B45" s="508"/>
      <c r="C45" s="501"/>
      <c r="D45" s="801"/>
      <c r="E45" s="407"/>
      <c r="F45" s="948"/>
      <c r="G45" s="507"/>
      <c r="H45" s="948"/>
      <c r="I45" s="507"/>
      <c r="J45" s="503"/>
      <c r="K45" s="949"/>
      <c r="L45" s="407"/>
      <c r="M45" s="949"/>
      <c r="N45" s="407"/>
      <c r="O45" s="502"/>
      <c r="P45" s="520"/>
      <c r="Q45" s="518"/>
    </row>
    <row r="46" spans="1:17" ht="15" customHeight="1">
      <c r="A46" s="505" t="s">
        <v>491</v>
      </c>
      <c r="B46" s="508"/>
      <c r="C46" s="501"/>
      <c r="D46" s="801"/>
      <c r="F46" s="948"/>
      <c r="G46" s="507"/>
      <c r="H46" s="948">
        <v>0.3</v>
      </c>
      <c r="I46" s="507"/>
      <c r="J46" s="503"/>
      <c r="K46" s="952">
        <v>0.05</v>
      </c>
      <c r="L46" s="522">
        <v>0.05</v>
      </c>
      <c r="M46" s="952">
        <v>0.15</v>
      </c>
      <c r="N46" s="522">
        <v>0.45</v>
      </c>
      <c r="O46" s="502"/>
      <c r="P46" s="520"/>
      <c r="Q46" s="507">
        <f>SUM(F46:O46)</f>
        <v>1</v>
      </c>
    </row>
    <row r="47" spans="1:17" ht="13.15" customHeight="1">
      <c r="A47" s="505"/>
      <c r="B47" s="508" t="s">
        <v>199</v>
      </c>
      <c r="C47" s="501">
        <v>1</v>
      </c>
      <c r="D47" s="801">
        <f>SUM('2022-23 Wages &amp; Benefits'!F12)</f>
        <v>53668.788356531251</v>
      </c>
      <c r="E47" s="407">
        <f>SUM(D47*C47)</f>
        <v>53668.788356531251</v>
      </c>
      <c r="F47" s="949">
        <f>SUM($E47*F$46)</f>
        <v>0</v>
      </c>
      <c r="G47" s="407">
        <f>SUM($E47*G$46)</f>
        <v>0</v>
      </c>
      <c r="H47" s="949">
        <f>SUM($E47*H$46)</f>
        <v>16100.636506959374</v>
      </c>
      <c r="I47" s="407">
        <f>SUM($E47*I$46)</f>
        <v>0</v>
      </c>
      <c r="J47" s="503">
        <f>SUM(F47:I47)</f>
        <v>16100.636506959374</v>
      </c>
      <c r="K47" s="949">
        <f>SUM($E47*K$46)</f>
        <v>2683.4394178265629</v>
      </c>
      <c r="L47" s="407">
        <f>SUM($E47*L$46)</f>
        <v>2683.4394178265629</v>
      </c>
      <c r="M47" s="949">
        <f>SUM($E47*M$46)</f>
        <v>8050.318253479687</v>
      </c>
      <c r="N47" s="407">
        <f>SUM($E47*N$46)</f>
        <v>24150.954760439065</v>
      </c>
      <c r="O47" s="502">
        <f>SUM(J47:N47)</f>
        <v>53668.788356531251</v>
      </c>
    </row>
    <row r="48" spans="1:17" ht="15" customHeight="1">
      <c r="A48" s="505"/>
      <c r="B48" s="508" t="s">
        <v>198</v>
      </c>
      <c r="C48" s="501"/>
      <c r="D48" s="801"/>
      <c r="E48" s="407">
        <f>SUM('2022-23 Wages &amp; Benefits'!O12)</f>
        <v>7417.0265508726188</v>
      </c>
      <c r="F48" s="949">
        <f>SUM(F$46*$E48)</f>
        <v>0</v>
      </c>
      <c r="G48" s="407">
        <f t="shared" ref="G48:N50" si="18">SUM(G$46*$E48)</f>
        <v>0</v>
      </c>
      <c r="H48" s="949">
        <f t="shared" si="18"/>
        <v>2225.1079652617855</v>
      </c>
      <c r="I48" s="407">
        <f t="shared" si="18"/>
        <v>0</v>
      </c>
      <c r="J48" s="503">
        <f>SUM(F48:I48)</f>
        <v>2225.1079652617855</v>
      </c>
      <c r="K48" s="949">
        <f t="shared" si="18"/>
        <v>370.85132754363099</v>
      </c>
      <c r="L48" s="407">
        <f t="shared" si="18"/>
        <v>370.85132754363099</v>
      </c>
      <c r="M48" s="949">
        <f t="shared" si="18"/>
        <v>1112.5539826308927</v>
      </c>
      <c r="N48" s="407">
        <f t="shared" si="18"/>
        <v>3337.6619478926787</v>
      </c>
      <c r="O48" s="502">
        <f>SUM(J48:N48)</f>
        <v>7417.0265508726188</v>
      </c>
      <c r="P48" s="520"/>
      <c r="Q48" s="502"/>
    </row>
    <row r="49" spans="1:18" ht="15" customHeight="1">
      <c r="A49" s="505"/>
      <c r="B49" s="508" t="s">
        <v>260</v>
      </c>
      <c r="C49" s="501"/>
      <c r="D49" s="801"/>
      <c r="E49" s="407">
        <f>SUM('2022-23 Wages &amp; Benefits'!M12)</f>
        <v>23786</v>
      </c>
      <c r="F49" s="949">
        <f>SUM(F$46*$E49)</f>
        <v>0</v>
      </c>
      <c r="G49" s="407">
        <f t="shared" si="18"/>
        <v>0</v>
      </c>
      <c r="H49" s="949">
        <f t="shared" si="18"/>
        <v>7135.8</v>
      </c>
      <c r="I49" s="407">
        <f t="shared" si="18"/>
        <v>0</v>
      </c>
      <c r="J49" s="503">
        <f>SUM(F49:I49)</f>
        <v>7135.8</v>
      </c>
      <c r="K49" s="949">
        <f t="shared" si="18"/>
        <v>1189.3</v>
      </c>
      <c r="L49" s="407">
        <f t="shared" si="18"/>
        <v>1189.3</v>
      </c>
      <c r="M49" s="949">
        <f t="shared" si="18"/>
        <v>3567.9</v>
      </c>
      <c r="N49" s="407">
        <f t="shared" si="18"/>
        <v>10703.7</v>
      </c>
      <c r="O49" s="502">
        <f>SUM(J49:N49)</f>
        <v>23786</v>
      </c>
      <c r="P49" s="520"/>
      <c r="Q49" s="515"/>
    </row>
    <row r="50" spans="1:18">
      <c r="A50" s="505"/>
      <c r="B50" s="508" t="s">
        <v>282</v>
      </c>
      <c r="C50" s="501"/>
      <c r="D50" s="801"/>
      <c r="E50" s="407">
        <f>SUM('2022-23 Wages &amp; Benefits'!P12)</f>
        <v>14576.442917633889</v>
      </c>
      <c r="F50" s="949">
        <f>SUM(F$46*$E50)</f>
        <v>0</v>
      </c>
      <c r="G50" s="407">
        <f t="shared" si="18"/>
        <v>0</v>
      </c>
      <c r="H50" s="949">
        <f t="shared" si="18"/>
        <v>4372.9328752901665</v>
      </c>
      <c r="I50" s="407">
        <f t="shared" si="18"/>
        <v>0</v>
      </c>
      <c r="J50" s="503">
        <f>SUM(F50:I50)</f>
        <v>4372.9328752901665</v>
      </c>
      <c r="K50" s="949">
        <f t="shared" si="18"/>
        <v>728.8221458816945</v>
      </c>
      <c r="L50" s="407">
        <f t="shared" si="18"/>
        <v>728.8221458816945</v>
      </c>
      <c r="M50" s="949">
        <f t="shared" si="18"/>
        <v>2186.4664376450833</v>
      </c>
      <c r="N50" s="407">
        <f t="shared" si="18"/>
        <v>6559.3993129352502</v>
      </c>
      <c r="O50" s="502">
        <f>SUM(J50:N50)</f>
        <v>14576.442917633889</v>
      </c>
    </row>
    <row r="51" spans="1:18" s="408" customFormat="1">
      <c r="A51" s="510"/>
      <c r="B51" s="505" t="s">
        <v>243</v>
      </c>
      <c r="C51" s="502"/>
      <c r="D51" s="801"/>
      <c r="E51" s="502">
        <f t="shared" ref="E51:N51" si="19">SUM(E47:E50)</f>
        <v>99448.257825037756</v>
      </c>
      <c r="F51" s="950">
        <f t="shared" si="19"/>
        <v>0</v>
      </c>
      <c r="G51" s="502">
        <f t="shared" si="19"/>
        <v>0</v>
      </c>
      <c r="H51" s="950">
        <f t="shared" si="19"/>
        <v>29834.477347511325</v>
      </c>
      <c r="I51" s="502">
        <f t="shared" si="19"/>
        <v>0</v>
      </c>
      <c r="J51" s="503">
        <f t="shared" si="19"/>
        <v>29834.477347511325</v>
      </c>
      <c r="K51" s="950">
        <f t="shared" si="19"/>
        <v>4972.4128912518881</v>
      </c>
      <c r="L51" s="502">
        <f t="shared" si="19"/>
        <v>4972.4128912518881</v>
      </c>
      <c r="M51" s="950">
        <f t="shared" si="19"/>
        <v>14917.238673755663</v>
      </c>
      <c r="N51" s="502">
        <f t="shared" si="19"/>
        <v>44751.716021266991</v>
      </c>
      <c r="O51" s="502">
        <f>SUM(J51:N51)</f>
        <v>99448.257825037756</v>
      </c>
    </row>
    <row r="52" spans="1:18" ht="7.9" customHeight="1">
      <c r="A52" s="505"/>
      <c r="C52" s="501"/>
      <c r="D52" s="801"/>
      <c r="F52" s="949"/>
      <c r="G52" s="407"/>
      <c r="H52" s="949"/>
      <c r="I52" s="407"/>
      <c r="J52" s="503"/>
      <c r="K52" s="949"/>
      <c r="L52" s="407"/>
      <c r="M52" s="949"/>
      <c r="N52" s="407"/>
      <c r="O52" s="502"/>
    </row>
    <row r="53" spans="1:18" ht="13.15" customHeight="1">
      <c r="A53" s="505" t="s">
        <v>416</v>
      </c>
      <c r="C53" s="501"/>
      <c r="D53" s="801"/>
      <c r="F53" s="949"/>
      <c r="G53" s="407"/>
      <c r="H53" s="952">
        <v>1</v>
      </c>
      <c r="I53" s="407"/>
      <c r="J53" s="503"/>
      <c r="K53" s="949"/>
      <c r="L53" s="407"/>
      <c r="M53" s="949"/>
      <c r="N53" s="407"/>
      <c r="O53" s="502"/>
    </row>
    <row r="54" spans="1:18" ht="13.15" customHeight="1">
      <c r="A54" s="505"/>
      <c r="B54" s="508" t="s">
        <v>199</v>
      </c>
      <c r="C54" s="501">
        <v>0.3</v>
      </c>
      <c r="D54" s="801">
        <f>'2022-23 Wages &amp; Benefits'!F14</f>
        <v>0</v>
      </c>
      <c r="E54" s="407">
        <f>SUM(D54*C54)</f>
        <v>0</v>
      </c>
      <c r="F54" s="949">
        <f>SUM($E54*F$46)</f>
        <v>0</v>
      </c>
      <c r="G54" s="407">
        <f>SUM($E54*G$46)</f>
        <v>0</v>
      </c>
      <c r="H54" s="949">
        <f>E54</f>
        <v>0</v>
      </c>
      <c r="I54" s="407">
        <f>SUM($E54*I$46)</f>
        <v>0</v>
      </c>
      <c r="J54" s="503">
        <f>SUM(F54:I54)</f>
        <v>0</v>
      </c>
      <c r="K54" s="949">
        <f>SUM($E54*K$53)</f>
        <v>0</v>
      </c>
      <c r="L54" s="407">
        <f>SUM($E54*L$53)</f>
        <v>0</v>
      </c>
      <c r="M54" s="949">
        <f>SUM($E54*M$53)</f>
        <v>0</v>
      </c>
      <c r="N54" s="407">
        <f>SUM($E54*N$53)</f>
        <v>0</v>
      </c>
      <c r="O54" s="502">
        <f>SUM(J54:N54)</f>
        <v>0</v>
      </c>
    </row>
    <row r="55" spans="1:18" ht="15" customHeight="1">
      <c r="A55" s="505"/>
      <c r="B55" s="508" t="s">
        <v>198</v>
      </c>
      <c r="C55" s="501"/>
      <c r="D55" s="801"/>
      <c r="E55" s="407">
        <f>SUM('2022-23 Wages &amp; Benefits'!O14)</f>
        <v>0</v>
      </c>
      <c r="F55" s="949">
        <f>SUM(F$46*$E55)</f>
        <v>0</v>
      </c>
      <c r="G55" s="407">
        <f t="shared" ref="G55:I57" si="20">SUM(G$46*$E55)</f>
        <v>0</v>
      </c>
      <c r="H55" s="949">
        <f t="shared" ref="H55:H57" si="21">E55</f>
        <v>0</v>
      </c>
      <c r="I55" s="407">
        <f t="shared" si="20"/>
        <v>0</v>
      </c>
      <c r="J55" s="503">
        <f>SUM(F55:I55)</f>
        <v>0</v>
      </c>
      <c r="K55" s="949">
        <f t="shared" ref="K55:N57" si="22">SUM($E55*K$53)</f>
        <v>0</v>
      </c>
      <c r="L55" s="407">
        <f t="shared" si="22"/>
        <v>0</v>
      </c>
      <c r="M55" s="949">
        <f t="shared" si="22"/>
        <v>0</v>
      </c>
      <c r="N55" s="407">
        <f t="shared" si="22"/>
        <v>0</v>
      </c>
      <c r="O55" s="502">
        <f>SUM(J55:N55)</f>
        <v>0</v>
      </c>
      <c r="P55" s="520"/>
      <c r="Q55" s="502"/>
    </row>
    <row r="56" spans="1:18" ht="15" customHeight="1">
      <c r="A56" s="505"/>
      <c r="B56" s="508" t="s">
        <v>260</v>
      </c>
      <c r="C56" s="501"/>
      <c r="D56" s="502"/>
      <c r="E56" s="407">
        <f>SUM('2022-23 Wages &amp; Benefits'!M14)</f>
        <v>0</v>
      </c>
      <c r="F56" s="949">
        <f>SUM(F$46*$E56)</f>
        <v>0</v>
      </c>
      <c r="G56" s="407">
        <f t="shared" si="20"/>
        <v>0</v>
      </c>
      <c r="H56" s="949">
        <f t="shared" si="21"/>
        <v>0</v>
      </c>
      <c r="I56" s="407">
        <f t="shared" si="20"/>
        <v>0</v>
      </c>
      <c r="J56" s="503">
        <f>SUM(F56:I56)</f>
        <v>0</v>
      </c>
      <c r="K56" s="949">
        <f t="shared" si="22"/>
        <v>0</v>
      </c>
      <c r="L56" s="407">
        <f t="shared" si="22"/>
        <v>0</v>
      </c>
      <c r="M56" s="949">
        <f t="shared" si="22"/>
        <v>0</v>
      </c>
      <c r="N56" s="407">
        <f t="shared" si="22"/>
        <v>0</v>
      </c>
      <c r="O56" s="502">
        <f>SUM(J56:N56)</f>
        <v>0</v>
      </c>
      <c r="P56" s="520"/>
      <c r="Q56" s="515"/>
    </row>
    <row r="57" spans="1:18">
      <c r="A57" s="505"/>
      <c r="B57" s="508" t="s">
        <v>282</v>
      </c>
      <c r="C57" s="501"/>
      <c r="D57" s="502"/>
      <c r="E57" s="407">
        <f>SUM('2022-23 Wages &amp; Benefits'!P14)</f>
        <v>0</v>
      </c>
      <c r="F57" s="949">
        <f>SUM(F$46*$E57)</f>
        <v>0</v>
      </c>
      <c r="G57" s="407">
        <f t="shared" si="20"/>
        <v>0</v>
      </c>
      <c r="H57" s="949">
        <f t="shared" si="21"/>
        <v>0</v>
      </c>
      <c r="I57" s="407">
        <f t="shared" si="20"/>
        <v>0</v>
      </c>
      <c r="J57" s="503">
        <f>SUM(F57:I57)</f>
        <v>0</v>
      </c>
      <c r="K57" s="949">
        <f t="shared" si="22"/>
        <v>0</v>
      </c>
      <c r="L57" s="407">
        <f t="shared" si="22"/>
        <v>0</v>
      </c>
      <c r="M57" s="949">
        <f t="shared" si="22"/>
        <v>0</v>
      </c>
      <c r="N57" s="407">
        <f t="shared" si="22"/>
        <v>0</v>
      </c>
      <c r="O57" s="502">
        <f>SUM(J57:N57)</f>
        <v>0</v>
      </c>
    </row>
    <row r="58" spans="1:18" s="408" customFormat="1">
      <c r="A58" s="510"/>
      <c r="B58" s="505" t="s">
        <v>243</v>
      </c>
      <c r="C58" s="502"/>
      <c r="D58" s="502"/>
      <c r="E58" s="502">
        <f t="shared" ref="E58:N58" si="23">SUM(E54:E57)</f>
        <v>0</v>
      </c>
      <c r="F58" s="950">
        <f t="shared" si="23"/>
        <v>0</v>
      </c>
      <c r="G58" s="502">
        <f t="shared" si="23"/>
        <v>0</v>
      </c>
      <c r="H58" s="950">
        <f t="shared" si="23"/>
        <v>0</v>
      </c>
      <c r="I58" s="502">
        <f t="shared" si="23"/>
        <v>0</v>
      </c>
      <c r="J58" s="503">
        <f t="shared" si="23"/>
        <v>0</v>
      </c>
      <c r="K58" s="950">
        <f t="shared" si="23"/>
        <v>0</v>
      </c>
      <c r="L58" s="502">
        <f t="shared" si="23"/>
        <v>0</v>
      </c>
      <c r="M58" s="950">
        <f t="shared" si="23"/>
        <v>0</v>
      </c>
      <c r="N58" s="502">
        <f t="shared" si="23"/>
        <v>0</v>
      </c>
      <c r="O58" s="502">
        <f>SUM(J58:N58)</f>
        <v>0</v>
      </c>
    </row>
    <row r="59" spans="1:18" ht="7.9" customHeight="1">
      <c r="A59" s="505"/>
      <c r="C59" s="501"/>
      <c r="D59" s="502"/>
      <c r="F59" s="949"/>
      <c r="G59" s="407"/>
      <c r="H59" s="949"/>
      <c r="I59" s="407"/>
      <c r="J59" s="503"/>
      <c r="K59" s="949"/>
      <c r="L59" s="407"/>
      <c r="M59" s="949"/>
      <c r="N59" s="407"/>
      <c r="O59" s="502"/>
    </row>
    <row r="60" spans="1:18">
      <c r="A60" s="500"/>
      <c r="B60" s="508" t="s">
        <v>199</v>
      </c>
      <c r="C60" s="501"/>
      <c r="D60" s="502"/>
      <c r="E60" s="502">
        <f>SUM(E5+E12+E19+E26+E74+E33+E40+E47+E54)</f>
        <v>399396.61644528754</v>
      </c>
      <c r="F60" s="949">
        <f>SUM(F5+F12+F19+F26+F74+F33+F40+F47+F54)</f>
        <v>78054.624458764229</v>
      </c>
      <c r="G60" s="407">
        <f t="shared" ref="G60:I60" si="24">SUM(G5+G12+G19+G26+G74+G33+G40+G47+G54)</f>
        <v>0</v>
      </c>
      <c r="H60" s="949">
        <f t="shared" si="24"/>
        <v>32663.672506959374</v>
      </c>
      <c r="I60" s="407">
        <f t="shared" si="24"/>
        <v>5820</v>
      </c>
      <c r="J60" s="503">
        <f>SUM(F60:I60)</f>
        <v>116538.2969657236</v>
      </c>
      <c r="K60" s="949">
        <f t="shared" ref="K60:N60" si="25">SUM(K5+K12+K19+K26+K74+K33+K40+K47+K54)</f>
        <v>14295.868752090002</v>
      </c>
      <c r="L60" s="407">
        <f>SUM(L5+L12+L19+L26+L74+L33+L40+L47+L54)</f>
        <v>17668.535248635471</v>
      </c>
      <c r="M60" s="949">
        <f>SUM(M5+M12+M19+M26+M74+M33+M40+M47+M54)</f>
        <v>72479.343939031416</v>
      </c>
      <c r="N60" s="407">
        <f t="shared" si="25"/>
        <v>178414.57153980705</v>
      </c>
      <c r="O60" s="502">
        <f>SUM(J60:N60)</f>
        <v>399396.61644528754</v>
      </c>
      <c r="P60" s="515">
        <f>SUM(K60:N60)</f>
        <v>282858.31947956397</v>
      </c>
      <c r="Q60" s="515"/>
    </row>
    <row r="61" spans="1:18">
      <c r="A61" s="508"/>
      <c r="B61" s="508" t="s">
        <v>198</v>
      </c>
      <c r="E61" s="502">
        <f>SUM(E6+E13+E20+E27+E75+E34+E41+E48+E55)</f>
        <v>52907.60081753874</v>
      </c>
      <c r="F61" s="949">
        <f t="shared" ref="F61:I61" si="26">SUM(F6+F13+F20+F27+F75+F34+F41+F48+F55)</f>
        <v>10787.149100201215</v>
      </c>
      <c r="G61" s="407">
        <f t="shared" si="26"/>
        <v>0</v>
      </c>
      <c r="H61" s="949">
        <f t="shared" si="26"/>
        <v>2225.1079652617855</v>
      </c>
      <c r="I61" s="407">
        <f t="shared" si="26"/>
        <v>804.32400000000007</v>
      </c>
      <c r="J61" s="503">
        <f>SUM(F61:I61)</f>
        <v>13816.581065463</v>
      </c>
      <c r="K61" s="949">
        <f t="shared" ref="K61:N61" si="27">SUM(K6+K13+K20+K27+K75+K34+K41+K48+K55)</f>
        <v>1975.6890615388381</v>
      </c>
      <c r="L61" s="407">
        <f t="shared" si="27"/>
        <v>2441.791571361422</v>
      </c>
      <c r="M61" s="949">
        <f t="shared" si="27"/>
        <v>10016.645332374139</v>
      </c>
      <c r="N61" s="407">
        <f t="shared" si="27"/>
        <v>24656.893786801331</v>
      </c>
      <c r="O61" s="502">
        <f>SUM(J61:N61)</f>
        <v>52907.600817538732</v>
      </c>
      <c r="P61" s="515">
        <f>SUM(K61:N61)</f>
        <v>39091.019752075728</v>
      </c>
    </row>
    <row r="62" spans="1:18">
      <c r="A62" s="500"/>
      <c r="B62" s="508" t="s">
        <v>260</v>
      </c>
      <c r="C62" s="501"/>
      <c r="D62" s="502"/>
      <c r="E62" s="502">
        <f>SUM(E7+E14+E21+E28+E76+E35+E42+E49+E56)</f>
        <v>110726.64</v>
      </c>
      <c r="F62" s="949">
        <f>SUM(F7+F14+F21+F28+F76+F35+F42+F49+F56)</f>
        <v>17395.031999999999</v>
      </c>
      <c r="G62" s="407">
        <f t="shared" ref="G62:I62" si="28">SUM(G7+G14+G21+G28+G76+G35+G42+G49+G56)</f>
        <v>0</v>
      </c>
      <c r="H62" s="949">
        <f t="shared" si="28"/>
        <v>7135.8</v>
      </c>
      <c r="I62" s="407">
        <f t="shared" si="28"/>
        <v>1198.376</v>
      </c>
      <c r="J62" s="503">
        <f>SUM(F62:I62)</f>
        <v>25729.207999999999</v>
      </c>
      <c r="K62" s="949">
        <f t="shared" ref="K62:N62" si="29">SUM(K7+K14+K21+K28+K76+K35+K42+K49+K56)</f>
        <v>4410.5320000000002</v>
      </c>
      <c r="L62" s="407">
        <f t="shared" si="29"/>
        <v>5380.1640000000007</v>
      </c>
      <c r="M62" s="949">
        <f t="shared" si="29"/>
        <v>21771.436000000002</v>
      </c>
      <c r="N62" s="407">
        <f t="shared" si="29"/>
        <v>53435.3</v>
      </c>
      <c r="O62" s="502">
        <f>SUM(J62:N62)</f>
        <v>110726.64</v>
      </c>
      <c r="P62" s="515">
        <f>SUM(K62:N62)</f>
        <v>84997.432000000001</v>
      </c>
      <c r="R62" s="162">
        <f>413317*1.03</f>
        <v>425716.51</v>
      </c>
    </row>
    <row r="63" spans="1:18">
      <c r="A63" s="508"/>
      <c r="B63" s="508" t="s">
        <v>282</v>
      </c>
      <c r="C63" s="501"/>
      <c r="D63" s="502"/>
      <c r="E63" s="502">
        <f>SUM(E8+E15+E22+E29+E77+E36+E43+E50+E57)</f>
        <v>103977.60044894009</v>
      </c>
      <c r="F63" s="949">
        <f>SUM(F8+F15+F22+F29+F77+F36+F43+F50+F57)</f>
        <v>21199.636003000363</v>
      </c>
      <c r="G63" s="407">
        <f t="shared" ref="G63:I63" si="30">SUM(G8+G15+G22+G29+G77+G36+G43+G50+G57)</f>
        <v>0</v>
      </c>
      <c r="H63" s="949">
        <f t="shared" si="30"/>
        <v>4372.9328752901665</v>
      </c>
      <c r="I63" s="407">
        <f t="shared" si="30"/>
        <v>1580.7120000000002</v>
      </c>
      <c r="J63" s="503">
        <f>SUM(F63:I63)</f>
        <v>27153.28087829053</v>
      </c>
      <c r="K63" s="949">
        <f t="shared" ref="K63:N63" si="31">SUM(K8+K15+K22+K29+K77+K36+K43+K50+K58)</f>
        <v>3882.7579530676448</v>
      </c>
      <c r="L63" s="407">
        <f t="shared" si="31"/>
        <v>4798.7741735293939</v>
      </c>
      <c r="M63" s="949">
        <f t="shared" si="31"/>
        <v>19685.389813840931</v>
      </c>
      <c r="N63" s="407">
        <f t="shared" si="31"/>
        <v>48457.397630211592</v>
      </c>
      <c r="O63" s="502">
        <f>SUM(J63:N63)</f>
        <v>103977.60044894009</v>
      </c>
      <c r="P63" s="515">
        <f>SUM(K63:N63)</f>
        <v>76824.319570649561</v>
      </c>
    </row>
    <row r="64" spans="1:18" ht="15" customHeight="1">
      <c r="A64" s="508"/>
      <c r="B64" s="508"/>
      <c r="F64" s="947"/>
      <c r="H64" s="947"/>
      <c r="J64" s="503"/>
      <c r="K64" s="947"/>
      <c r="M64" s="947"/>
    </row>
    <row r="65" spans="1:17" ht="15.75">
      <c r="A65" s="1056" t="s">
        <v>150</v>
      </c>
      <c r="B65" s="1056"/>
      <c r="C65" s="506">
        <f>C5+C12+C19+C26+C33+C40</f>
        <v>5</v>
      </c>
      <c r="E65" s="502">
        <f t="shared" ref="E65:N65" si="32">SUM(E60:E63)</f>
        <v>667008.45771176636</v>
      </c>
      <c r="F65" s="950">
        <f>SUM(F60:F63)</f>
        <v>127436.44156196582</v>
      </c>
      <c r="G65" s="502">
        <f t="shared" si="32"/>
        <v>0</v>
      </c>
      <c r="H65" s="950">
        <f t="shared" si="32"/>
        <v>46397.513347511325</v>
      </c>
      <c r="I65" s="502">
        <f t="shared" si="32"/>
        <v>9403.4120000000003</v>
      </c>
      <c r="J65" s="503">
        <f t="shared" si="32"/>
        <v>183237.36690947713</v>
      </c>
      <c r="K65" s="950">
        <f t="shared" si="32"/>
        <v>24564.847766696486</v>
      </c>
      <c r="L65" s="502">
        <f t="shared" si="32"/>
        <v>30289.264993526289</v>
      </c>
      <c r="M65" s="950">
        <f t="shared" si="32"/>
        <v>123952.81508524649</v>
      </c>
      <c r="N65" s="502">
        <f t="shared" si="32"/>
        <v>304964.16295681999</v>
      </c>
      <c r="O65" s="502">
        <f>SUM(J65:N65)</f>
        <v>667008.45771176636</v>
      </c>
      <c r="P65" s="515">
        <f>O65-E65</f>
        <v>0</v>
      </c>
    </row>
    <row r="66" spans="1:17">
      <c r="A66" s="508"/>
      <c r="B66" s="508"/>
      <c r="F66" s="947"/>
      <c r="H66" s="947"/>
      <c r="J66" s="503"/>
      <c r="K66" s="947"/>
      <c r="M66" s="947"/>
    </row>
    <row r="67" spans="1:17" s="408" customFormat="1">
      <c r="A67" s="500"/>
      <c r="B67" s="500"/>
      <c r="C67" s="501"/>
      <c r="D67" s="502"/>
      <c r="E67" s="523" t="s">
        <v>199</v>
      </c>
      <c r="F67" s="949">
        <f>SUM(F60)</f>
        <v>78054.624458764229</v>
      </c>
      <c r="G67" s="407">
        <f t="shared" ref="G67:N67" si="33">SUM(G60)</f>
        <v>0</v>
      </c>
      <c r="H67" s="949">
        <f t="shared" si="33"/>
        <v>32663.672506959374</v>
      </c>
      <c r="I67" s="407">
        <f t="shared" si="33"/>
        <v>5820</v>
      </c>
      <c r="J67" s="502">
        <f t="shared" si="33"/>
        <v>116538.2969657236</v>
      </c>
      <c r="K67" s="950">
        <f t="shared" si="33"/>
        <v>14295.868752090002</v>
      </c>
      <c r="L67" s="502">
        <f t="shared" si="33"/>
        <v>17668.535248635471</v>
      </c>
      <c r="M67" s="950">
        <f>SUM(M60)</f>
        <v>72479.343939031416</v>
      </c>
      <c r="N67" s="502">
        <f t="shared" si="33"/>
        <v>178414.57153980705</v>
      </c>
      <c r="O67" s="502">
        <f>SUM(J67:N67)</f>
        <v>399396.61644528754</v>
      </c>
    </row>
    <row r="68" spans="1:17">
      <c r="A68" s="508"/>
      <c r="B68" s="508"/>
      <c r="E68" s="524" t="s">
        <v>198</v>
      </c>
      <c r="F68" s="951">
        <f>SUM(F61/$O61)</f>
        <v>0.20388656702470059</v>
      </c>
      <c r="G68" s="525">
        <f t="shared" ref="G68:O68" si="34">SUM(G61/$O61)</f>
        <v>0</v>
      </c>
      <c r="H68" s="951">
        <f t="shared" si="34"/>
        <v>4.2056489632472015E-2</v>
      </c>
      <c r="I68" s="525">
        <f t="shared" si="34"/>
        <v>1.5202428149668974E-2</v>
      </c>
      <c r="J68" s="526">
        <f>SUM(J61/$O61)</f>
        <v>0.26114548480684158</v>
      </c>
      <c r="K68" s="951">
        <f t="shared" si="34"/>
        <v>3.734225387298043E-2</v>
      </c>
      <c r="L68" s="525">
        <f t="shared" si="34"/>
        <v>4.6151999592315182E-2</v>
      </c>
      <c r="M68" s="951">
        <f t="shared" si="34"/>
        <v>0.18932337088801893</v>
      </c>
      <c r="N68" s="525">
        <f t="shared" si="34"/>
        <v>0.46603689083984384</v>
      </c>
      <c r="O68" s="525">
        <f t="shared" si="34"/>
        <v>1</v>
      </c>
    </row>
    <row r="69" spans="1:17">
      <c r="A69" s="508"/>
      <c r="B69" s="508"/>
      <c r="E69" s="524" t="s">
        <v>260</v>
      </c>
      <c r="F69" s="951">
        <f>SUM(F62/$O$62)</f>
        <v>0.15709888785571385</v>
      </c>
      <c r="G69" s="525">
        <f t="shared" ref="G69:N69" si="35">SUM(G62/$O$62)</f>
        <v>0</v>
      </c>
      <c r="H69" s="951">
        <f t="shared" si="35"/>
        <v>6.4445195844468867E-2</v>
      </c>
      <c r="I69" s="525">
        <f t="shared" si="35"/>
        <v>1.0822833601742092E-2</v>
      </c>
      <c r="J69" s="526">
        <f t="shared" si="35"/>
        <v>0.2323669173019248</v>
      </c>
      <c r="K69" s="951">
        <f t="shared" si="35"/>
        <v>3.9832618419560102E-2</v>
      </c>
      <c r="L69" s="525">
        <f t="shared" si="35"/>
        <v>4.8589607704162256E-2</v>
      </c>
      <c r="M69" s="951">
        <f t="shared" si="35"/>
        <v>0.19662328776525687</v>
      </c>
      <c r="N69" s="525">
        <f t="shared" si="35"/>
        <v>0.48258756880909603</v>
      </c>
      <c r="O69" s="525">
        <f>SUM(J69:N69)</f>
        <v>1</v>
      </c>
    </row>
    <row r="70" spans="1:17">
      <c r="A70" s="508"/>
      <c r="B70" s="508"/>
      <c r="E70" s="524" t="s">
        <v>282</v>
      </c>
      <c r="F70" s="951">
        <f>SUM(F63/$O63)</f>
        <v>0.20388656702470059</v>
      </c>
      <c r="G70" s="525">
        <f t="shared" ref="G70:N70" si="36">SUM(G63/$O63)</f>
        <v>0</v>
      </c>
      <c r="H70" s="951">
        <f t="shared" si="36"/>
        <v>4.2056489632472015E-2</v>
      </c>
      <c r="I70" s="525">
        <f t="shared" si="36"/>
        <v>1.5202428149668974E-2</v>
      </c>
      <c r="J70" s="526">
        <f t="shared" si="36"/>
        <v>0.26114548480684158</v>
      </c>
      <c r="K70" s="951">
        <f t="shared" si="36"/>
        <v>3.734225387298043E-2</v>
      </c>
      <c r="L70" s="525">
        <f t="shared" si="36"/>
        <v>4.6151999592315182E-2</v>
      </c>
      <c r="M70" s="951">
        <f t="shared" si="36"/>
        <v>0.18932337088801895</v>
      </c>
      <c r="N70" s="525">
        <f t="shared" si="36"/>
        <v>0.46603689083984384</v>
      </c>
      <c r="O70" s="525">
        <f>SUM(J70:N70)</f>
        <v>1</v>
      </c>
    </row>
    <row r="71" spans="1:17">
      <c r="A71" s="508"/>
      <c r="B71" s="508"/>
      <c r="J71" s="503"/>
    </row>
    <row r="72" spans="1:17">
      <c r="A72" s="508"/>
      <c r="B72" s="508"/>
      <c r="J72" s="503"/>
    </row>
    <row r="73" spans="1:17">
      <c r="A73" s="505" t="s">
        <v>285</v>
      </c>
      <c r="B73" s="505"/>
      <c r="C73" s="501"/>
      <c r="D73" s="502"/>
      <c r="F73" s="507">
        <v>1</v>
      </c>
      <c r="G73" s="507"/>
      <c r="H73" s="507"/>
      <c r="I73" s="507"/>
      <c r="J73" s="503"/>
      <c r="K73" s="507"/>
      <c r="L73" s="507"/>
      <c r="M73" s="507"/>
      <c r="N73" s="507"/>
      <c r="O73" s="502"/>
      <c r="Q73" s="507"/>
    </row>
    <row r="74" spans="1:17" ht="15" customHeight="1">
      <c r="A74" s="505"/>
      <c r="B74" s="508" t="s">
        <v>199</v>
      </c>
      <c r="C74" s="501">
        <v>0</v>
      </c>
      <c r="D74" s="502">
        <f>SUM('2022-23 Wages &amp; Benefits'!F8)</f>
        <v>0</v>
      </c>
      <c r="E74" s="407">
        <f>SUM(D74*C74)</f>
        <v>0</v>
      </c>
      <c r="F74" s="407">
        <f t="shared" ref="F74:I77" si="37">SUM(F$73*$D74)</f>
        <v>0</v>
      </c>
      <c r="G74" s="407">
        <f t="shared" si="37"/>
        <v>0</v>
      </c>
      <c r="H74" s="407">
        <f t="shared" si="37"/>
        <v>0</v>
      </c>
      <c r="I74" s="407">
        <f t="shared" si="37"/>
        <v>0</v>
      </c>
      <c r="J74" s="503">
        <f>SUM(F74:I74)</f>
        <v>0</v>
      </c>
      <c r="K74" s="407">
        <f t="shared" ref="K74:N77" si="38">SUM(K$73*$D74)</f>
        <v>0</v>
      </c>
      <c r="L74" s="407">
        <f t="shared" si="38"/>
        <v>0</v>
      </c>
      <c r="M74" s="407">
        <f t="shared" si="38"/>
        <v>0</v>
      </c>
      <c r="N74" s="407">
        <f t="shared" si="38"/>
        <v>0</v>
      </c>
      <c r="O74" s="502">
        <f>SUM(J74:N74)</f>
        <v>0</v>
      </c>
      <c r="Q74" s="507"/>
    </row>
    <row r="75" spans="1:17">
      <c r="A75" s="500"/>
      <c r="B75" s="508" t="s">
        <v>198</v>
      </c>
      <c r="C75" s="501"/>
      <c r="D75" s="502"/>
      <c r="E75" s="407">
        <f>SUM(D75*C75)</f>
        <v>0</v>
      </c>
      <c r="F75" s="407">
        <f t="shared" si="37"/>
        <v>0</v>
      </c>
      <c r="G75" s="407">
        <f t="shared" si="37"/>
        <v>0</v>
      </c>
      <c r="H75" s="407">
        <f t="shared" si="37"/>
        <v>0</v>
      </c>
      <c r="I75" s="407">
        <f t="shared" si="37"/>
        <v>0</v>
      </c>
      <c r="J75" s="503">
        <f>SUM(F75:I75)</f>
        <v>0</v>
      </c>
      <c r="K75" s="407">
        <f t="shared" si="38"/>
        <v>0</v>
      </c>
      <c r="L75" s="407">
        <f t="shared" si="38"/>
        <v>0</v>
      </c>
      <c r="M75" s="407">
        <f t="shared" si="38"/>
        <v>0</v>
      </c>
      <c r="N75" s="407">
        <f t="shared" si="38"/>
        <v>0</v>
      </c>
      <c r="O75" s="502">
        <f>SUM(J75:N75)</f>
        <v>0</v>
      </c>
      <c r="Q75" s="507"/>
    </row>
    <row r="76" spans="1:17">
      <c r="A76" s="505"/>
      <c r="B76" s="508" t="s">
        <v>260</v>
      </c>
      <c r="C76" s="501"/>
      <c r="D76" s="502"/>
      <c r="E76" s="407">
        <f>SUM(D76*C76)</f>
        <v>0</v>
      </c>
      <c r="F76" s="407">
        <f t="shared" si="37"/>
        <v>0</v>
      </c>
      <c r="G76" s="407">
        <f t="shared" si="37"/>
        <v>0</v>
      </c>
      <c r="H76" s="407">
        <f t="shared" si="37"/>
        <v>0</v>
      </c>
      <c r="I76" s="407">
        <f t="shared" si="37"/>
        <v>0</v>
      </c>
      <c r="J76" s="503">
        <f>SUM(F76:I76)</f>
        <v>0</v>
      </c>
      <c r="K76" s="407">
        <f t="shared" si="38"/>
        <v>0</v>
      </c>
      <c r="L76" s="407">
        <f t="shared" si="38"/>
        <v>0</v>
      </c>
      <c r="M76" s="407">
        <f t="shared" si="38"/>
        <v>0</v>
      </c>
      <c r="N76" s="407">
        <f t="shared" si="38"/>
        <v>0</v>
      </c>
      <c r="O76" s="502">
        <f>SUM(J76:N76)</f>
        <v>0</v>
      </c>
      <c r="Q76" s="507"/>
    </row>
    <row r="77" spans="1:17" ht="15" customHeight="1">
      <c r="A77" s="505"/>
      <c r="B77" s="508" t="s">
        <v>282</v>
      </c>
      <c r="C77" s="501"/>
      <c r="D77" s="502"/>
      <c r="E77" s="407">
        <f>SUM(D77*C77)</f>
        <v>0</v>
      </c>
      <c r="F77" s="407">
        <f t="shared" si="37"/>
        <v>0</v>
      </c>
      <c r="G77" s="407">
        <f t="shared" si="37"/>
        <v>0</v>
      </c>
      <c r="H77" s="407">
        <f t="shared" si="37"/>
        <v>0</v>
      </c>
      <c r="I77" s="407">
        <f t="shared" si="37"/>
        <v>0</v>
      </c>
      <c r="J77" s="503">
        <f>SUM(F77:I77)</f>
        <v>0</v>
      </c>
      <c r="K77" s="407">
        <f t="shared" si="38"/>
        <v>0</v>
      </c>
      <c r="L77" s="407">
        <f t="shared" si="38"/>
        <v>0</v>
      </c>
      <c r="M77" s="407">
        <f t="shared" si="38"/>
        <v>0</v>
      </c>
      <c r="N77" s="407">
        <f t="shared" si="38"/>
        <v>0</v>
      </c>
      <c r="O77" s="502">
        <f>SUM(J77:N77)</f>
        <v>0</v>
      </c>
      <c r="Q77" s="407"/>
    </row>
    <row r="78" spans="1:17" s="408" customFormat="1" ht="15" customHeight="1">
      <c r="A78" s="510"/>
      <c r="B78" s="505" t="s">
        <v>243</v>
      </c>
      <c r="C78" s="502"/>
      <c r="D78" s="502"/>
      <c r="E78" s="502">
        <f t="shared" ref="E78:N78" si="39">SUM(E74:E77)</f>
        <v>0</v>
      </c>
      <c r="F78" s="502">
        <f t="shared" si="39"/>
        <v>0</v>
      </c>
      <c r="G78" s="502">
        <f t="shared" si="39"/>
        <v>0</v>
      </c>
      <c r="H78" s="502">
        <f t="shared" si="39"/>
        <v>0</v>
      </c>
      <c r="I78" s="502">
        <f t="shared" si="39"/>
        <v>0</v>
      </c>
      <c r="J78" s="503">
        <f t="shared" si="39"/>
        <v>0</v>
      </c>
      <c r="K78" s="502">
        <f t="shared" si="39"/>
        <v>0</v>
      </c>
      <c r="L78" s="502">
        <f t="shared" si="39"/>
        <v>0</v>
      </c>
      <c r="M78" s="502">
        <f t="shared" si="39"/>
        <v>0</v>
      </c>
      <c r="N78" s="502">
        <f t="shared" si="39"/>
        <v>0</v>
      </c>
      <c r="O78" s="502">
        <f>SUM(J78:N78)</f>
        <v>0</v>
      </c>
      <c r="Q78" s="527"/>
    </row>
    <row r="79" spans="1:17">
      <c r="A79" s="508"/>
      <c r="B79" s="508"/>
      <c r="J79" s="503"/>
    </row>
    <row r="80" spans="1:17">
      <c r="B80" s="508"/>
      <c r="J80" s="503"/>
    </row>
    <row r="81" spans="1:15">
      <c r="J81" s="503"/>
    </row>
    <row r="82" spans="1:15">
      <c r="J82" s="503"/>
    </row>
    <row r="83" spans="1:15">
      <c r="J83" s="503"/>
    </row>
    <row r="84" spans="1:15">
      <c r="J84" s="503"/>
    </row>
    <row r="85" spans="1:15">
      <c r="J85" s="503"/>
    </row>
    <row r="86" spans="1:15">
      <c r="J86" s="503"/>
    </row>
    <row r="87" spans="1:15">
      <c r="J87" s="503"/>
    </row>
    <row r="88" spans="1:15">
      <c r="J88" s="503"/>
    </row>
    <row r="89" spans="1:15">
      <c r="J89" s="503"/>
      <c r="O89" s="162"/>
    </row>
    <row r="90" spans="1:15">
      <c r="J90" s="503"/>
      <c r="O90" s="162"/>
    </row>
    <row r="91" spans="1:15">
      <c r="A91" s="528"/>
      <c r="J91" s="503"/>
      <c r="O91" s="162"/>
    </row>
    <row r="92" spans="1:15">
      <c r="B92" s="528"/>
      <c r="C92" s="529"/>
      <c r="D92" s="530"/>
      <c r="E92" s="530"/>
      <c r="J92" s="503"/>
      <c r="O92" s="162"/>
    </row>
  </sheetData>
  <mergeCells count="1">
    <mergeCell ref="A65:B65"/>
  </mergeCells>
  <pageMargins left="0.7" right="0.7" top="0.75" bottom="0.75" header="0.3" footer="0.3"/>
  <pageSetup scale="61" fitToHeight="2" orientation="landscape" r:id="rId1"/>
  <headerFooter>
    <oddHeader>&amp;C&amp;"Arial,Bold"&amp;16&amp;A</oddHeader>
    <oddFooter>&amp;L&amp;Z&amp;F</oddFooter>
  </headerFooter>
  <rowBreaks count="1" manualBreakCount="1">
    <brk id="3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1"/>
  <sheetViews>
    <sheetView zoomScale="80" zoomScaleNormal="80" zoomScalePageLayoutView="80" workbookViewId="0">
      <selection activeCell="H27" sqref="H27"/>
    </sheetView>
  </sheetViews>
  <sheetFormatPr defaultColWidth="9.140625" defaultRowHeight="15"/>
  <cols>
    <col min="1" max="1" width="5.7109375" style="1" customWidth="1"/>
    <col min="2" max="2" width="4.85546875" style="1" bestFit="1" customWidth="1"/>
    <col min="3" max="3" width="7.7109375" style="1" bestFit="1" customWidth="1"/>
    <col min="4" max="4" width="45.42578125" style="1" customWidth="1"/>
    <col min="5" max="5" width="14.28515625" style="92" customWidth="1"/>
    <col min="6" max="6" width="14.28515625" style="412" customWidth="1"/>
    <col min="7" max="7" width="14.28515625" style="422" customWidth="1"/>
    <col min="8" max="8" width="14.28515625" style="1" customWidth="1"/>
    <col min="9" max="9" width="3.140625" style="1" customWidth="1"/>
    <col min="10" max="10" width="17" style="1" bestFit="1" customWidth="1"/>
    <col min="11" max="11" width="14.7109375" style="1" customWidth="1"/>
    <col min="12" max="12" width="7" style="1" customWidth="1"/>
    <col min="13" max="13" width="14.7109375" style="1" customWidth="1"/>
    <col min="14" max="14" width="7.7109375" style="1" bestFit="1" customWidth="1"/>
    <col min="15" max="15" width="17.28515625" style="1" bestFit="1" customWidth="1"/>
    <col min="16" max="16" width="9.7109375" style="1" bestFit="1" customWidth="1"/>
    <col min="17" max="17" width="15.7109375" style="1" bestFit="1" customWidth="1"/>
    <col min="18" max="16384" width="9.140625" style="1"/>
  </cols>
  <sheetData>
    <row r="1" spans="1:16" ht="15.75">
      <c r="A1" s="606"/>
      <c r="B1" s="606"/>
      <c r="C1" s="606"/>
      <c r="D1" s="1057" t="s">
        <v>0</v>
      </c>
      <c r="E1" s="1058"/>
      <c r="F1" s="1058"/>
      <c r="G1" s="1058"/>
      <c r="H1" s="1058"/>
      <c r="I1" s="1058"/>
      <c r="J1" s="1058"/>
      <c r="K1" s="1058"/>
      <c r="L1" s="607"/>
      <c r="M1" s="607"/>
    </row>
    <row r="2" spans="1:16" ht="15.75">
      <c r="A2" s="608"/>
      <c r="B2" s="608"/>
      <c r="C2" s="608"/>
      <c r="D2" s="1063" t="s">
        <v>566</v>
      </c>
      <c r="E2" s="1064"/>
      <c r="F2" s="1064"/>
      <c r="G2" s="1064"/>
      <c r="H2" s="1064"/>
      <c r="I2" s="1064"/>
      <c r="J2" s="1064"/>
      <c r="K2" s="1064"/>
      <c r="L2" s="609"/>
      <c r="M2" s="609"/>
    </row>
    <row r="3" spans="1:16" ht="7.15" customHeight="1"/>
    <row r="4" spans="1:16" ht="15.75">
      <c r="A4" s="608"/>
      <c r="B4" s="608"/>
      <c r="C4" s="608"/>
      <c r="D4" s="1061" t="s">
        <v>147</v>
      </c>
      <c r="E4" s="1062"/>
      <c r="F4" s="1062"/>
      <c r="G4" s="1062"/>
      <c r="H4" s="1062"/>
      <c r="I4" s="1062"/>
      <c r="J4" s="1062"/>
      <c r="K4" s="1062"/>
      <c r="L4" s="609"/>
      <c r="M4" s="609"/>
      <c r="O4" s="1" t="s">
        <v>381</v>
      </c>
      <c r="P4" s="1" t="s">
        <v>382</v>
      </c>
    </row>
    <row r="5" spans="1:16" ht="7.9" customHeight="1">
      <c r="A5" s="610"/>
      <c r="B5" s="610"/>
      <c r="C5" s="611"/>
      <c r="H5" s="561"/>
      <c r="I5" s="2"/>
      <c r="O5" s="778" t="s">
        <v>568</v>
      </c>
      <c r="P5" s="780" t="s">
        <v>568</v>
      </c>
    </row>
    <row r="6" spans="1:16" ht="18.75">
      <c r="A6" s="610"/>
      <c r="B6" s="610"/>
      <c r="C6" s="611"/>
      <c r="D6" s="543"/>
      <c r="E6" s="569" t="s">
        <v>54</v>
      </c>
      <c r="F6" s="569" t="s">
        <v>54</v>
      </c>
      <c r="G6" s="545" t="s">
        <v>1</v>
      </c>
      <c r="H6" s="545" t="s">
        <v>2</v>
      </c>
      <c r="I6" s="546"/>
      <c r="J6" s="569" t="s">
        <v>376</v>
      </c>
      <c r="K6" s="545" t="s">
        <v>1</v>
      </c>
      <c r="L6" s="545"/>
      <c r="M6" s="545"/>
    </row>
    <row r="7" spans="1:16" ht="18.75">
      <c r="A7" s="610"/>
      <c r="B7" s="610"/>
      <c r="C7" s="611"/>
      <c r="D7" s="543"/>
      <c r="E7" s="569"/>
      <c r="F7" s="569"/>
      <c r="G7" s="545" t="s">
        <v>3</v>
      </c>
      <c r="H7" s="545" t="s">
        <v>56</v>
      </c>
      <c r="I7" s="546"/>
      <c r="J7" s="569" t="s">
        <v>56</v>
      </c>
      <c r="K7" s="545" t="s">
        <v>56</v>
      </c>
      <c r="L7" s="545"/>
      <c r="M7" s="545"/>
    </row>
    <row r="8" spans="1:16" ht="18.75">
      <c r="A8" s="610" t="s">
        <v>5</v>
      </c>
      <c r="B8" s="610"/>
      <c r="C8" s="611"/>
      <c r="D8" s="543"/>
      <c r="E8" s="548" t="s">
        <v>330</v>
      </c>
      <c r="F8" s="548" t="s">
        <v>366</v>
      </c>
      <c r="G8" s="548" t="s">
        <v>472</v>
      </c>
      <c r="H8" s="548" t="s">
        <v>473</v>
      </c>
      <c r="I8" s="550"/>
      <c r="J8" s="548" t="str">
        <f>H8</f>
        <v>2022-23</v>
      </c>
      <c r="K8" s="548" t="str">
        <f>H8</f>
        <v>2022-23</v>
      </c>
      <c r="L8" s="572"/>
      <c r="M8" s="572"/>
    </row>
    <row r="9" spans="1:16" ht="18.75">
      <c r="A9" s="612"/>
      <c r="B9" s="610"/>
      <c r="C9" s="611"/>
      <c r="D9" s="3" t="s">
        <v>403</v>
      </c>
      <c r="E9" s="412"/>
      <c r="G9" s="412"/>
      <c r="H9" s="556"/>
      <c r="I9" s="416"/>
      <c r="J9" s="412"/>
      <c r="K9" s="556"/>
      <c r="L9" s="556"/>
      <c r="M9" s="556"/>
      <c r="N9" s="557"/>
      <c r="O9" s="557"/>
    </row>
    <row r="10" spans="1:16" ht="18">
      <c r="A10" s="611">
        <v>100</v>
      </c>
      <c r="B10" s="610">
        <v>0</v>
      </c>
      <c r="C10" s="611">
        <v>40000</v>
      </c>
      <c r="D10" s="1" t="s">
        <v>6</v>
      </c>
      <c r="E10" s="802">
        <v>301963</v>
      </c>
      <c r="F10" s="802">
        <f>E75</f>
        <v>391407</v>
      </c>
      <c r="G10" s="811">
        <v>400000</v>
      </c>
      <c r="H10" s="802">
        <v>500000</v>
      </c>
      <c r="I10" s="416"/>
      <c r="J10" s="811">
        <f t="shared" ref="J10:J43" si="0">IF($O$5="Yes",H10,0)</f>
        <v>0</v>
      </c>
      <c r="K10" s="811">
        <f t="shared" ref="K10:K43" si="1">IF($P$5="Yes",J10,0)</f>
        <v>0</v>
      </c>
      <c r="L10" s="556"/>
      <c r="M10" s="556"/>
      <c r="N10" s="557"/>
      <c r="O10" s="557"/>
    </row>
    <row r="11" spans="1:16" ht="18">
      <c r="A11" s="611">
        <v>100</v>
      </c>
      <c r="B11" s="610">
        <v>0</v>
      </c>
      <c r="C11" s="611">
        <v>46031</v>
      </c>
      <c r="D11" s="1" t="s">
        <v>225</v>
      </c>
      <c r="E11" s="802">
        <v>0</v>
      </c>
      <c r="F11" s="802">
        <v>0</v>
      </c>
      <c r="G11" s="802">
        <v>1500</v>
      </c>
      <c r="H11" s="802">
        <v>1500</v>
      </c>
      <c r="I11" s="416"/>
      <c r="J11" s="811">
        <f t="shared" si="0"/>
        <v>0</v>
      </c>
      <c r="K11" s="802">
        <f t="shared" si="1"/>
        <v>0</v>
      </c>
      <c r="L11" s="412"/>
      <c r="M11" s="412"/>
      <c r="N11" s="557"/>
      <c r="O11" s="557"/>
    </row>
    <row r="12" spans="1:16" ht="18" hidden="1">
      <c r="A12" s="611"/>
      <c r="B12" s="610"/>
      <c r="C12" s="611"/>
      <c r="D12" s="1" t="s">
        <v>375</v>
      </c>
      <c r="E12" s="802">
        <v>0</v>
      </c>
      <c r="F12" s="802">
        <v>0</v>
      </c>
      <c r="G12" s="802">
        <v>0</v>
      </c>
      <c r="H12" s="802">
        <v>0</v>
      </c>
      <c r="I12" s="416">
        <v>1</v>
      </c>
      <c r="J12" s="811">
        <f t="shared" si="0"/>
        <v>0</v>
      </c>
      <c r="K12" s="802">
        <f t="shared" si="1"/>
        <v>0</v>
      </c>
      <c r="L12" s="412"/>
      <c r="M12" s="412"/>
      <c r="N12" s="557"/>
      <c r="O12" s="557"/>
    </row>
    <row r="13" spans="1:16" ht="18" hidden="1">
      <c r="A13" s="611"/>
      <c r="B13" s="610"/>
      <c r="C13" s="611"/>
      <c r="D13" s="1" t="s">
        <v>310</v>
      </c>
      <c r="E13" s="802">
        <v>0</v>
      </c>
      <c r="F13" s="802">
        <v>0</v>
      </c>
      <c r="G13" s="802">
        <v>0</v>
      </c>
      <c r="H13" s="802">
        <v>0</v>
      </c>
      <c r="I13" s="416">
        <v>1</v>
      </c>
      <c r="J13" s="811">
        <f t="shared" si="0"/>
        <v>0</v>
      </c>
      <c r="K13" s="802">
        <f t="shared" si="1"/>
        <v>0</v>
      </c>
      <c r="L13" s="412"/>
      <c r="M13" s="412"/>
      <c r="N13" s="557"/>
      <c r="O13" s="557"/>
    </row>
    <row r="14" spans="1:16" ht="18" hidden="1">
      <c r="A14" s="611"/>
      <c r="B14" s="610"/>
      <c r="C14" s="611"/>
      <c r="D14" s="1" t="s">
        <v>251</v>
      </c>
      <c r="E14" s="802">
        <v>0</v>
      </c>
      <c r="F14" s="802">
        <v>0</v>
      </c>
      <c r="G14" s="802">
        <v>0</v>
      </c>
      <c r="H14" s="802">
        <v>0</v>
      </c>
      <c r="I14" s="416">
        <v>1</v>
      </c>
      <c r="J14" s="811">
        <f t="shared" si="0"/>
        <v>0</v>
      </c>
      <c r="K14" s="802">
        <f t="shared" si="1"/>
        <v>0</v>
      </c>
      <c r="L14" s="412"/>
      <c r="M14" s="412"/>
      <c r="N14" s="557"/>
      <c r="O14" s="557"/>
    </row>
    <row r="15" spans="1:16" ht="18">
      <c r="A15" s="611">
        <v>100</v>
      </c>
      <c r="B15" s="610">
        <v>0</v>
      </c>
      <c r="C15" s="611">
        <v>41020</v>
      </c>
      <c r="D15" s="1" t="s">
        <v>43</v>
      </c>
      <c r="E15" s="802">
        <v>1177</v>
      </c>
      <c r="F15" s="802">
        <v>985</v>
      </c>
      <c r="G15" s="802">
        <v>1000</v>
      </c>
      <c r="H15" s="802">
        <v>1000</v>
      </c>
      <c r="I15" s="416"/>
      <c r="J15" s="811">
        <f t="shared" si="0"/>
        <v>0</v>
      </c>
      <c r="K15" s="802">
        <f t="shared" si="1"/>
        <v>0</v>
      </c>
      <c r="L15" s="412"/>
      <c r="M15" s="412"/>
      <c r="N15" s="557"/>
      <c r="O15" s="557"/>
    </row>
    <row r="16" spans="1:16">
      <c r="A16" s="611">
        <v>100</v>
      </c>
      <c r="B16" s="610">
        <v>0</v>
      </c>
      <c r="C16" s="611">
        <v>43001</v>
      </c>
      <c r="D16" s="1" t="s">
        <v>7</v>
      </c>
      <c r="E16" s="802">
        <v>51466</v>
      </c>
      <c r="F16" s="802">
        <v>76825</v>
      </c>
      <c r="G16" s="802">
        <v>60000</v>
      </c>
      <c r="H16" s="802">
        <v>70000</v>
      </c>
      <c r="I16" s="776"/>
      <c r="J16" s="811">
        <f t="shared" si="0"/>
        <v>0</v>
      </c>
      <c r="K16" s="802">
        <f t="shared" si="1"/>
        <v>0</v>
      </c>
      <c r="L16" s="412"/>
      <c r="M16" s="412"/>
      <c r="N16" s="557"/>
      <c r="O16" s="557"/>
    </row>
    <row r="17" spans="1:15" hidden="1">
      <c r="A17" s="779"/>
      <c r="B17" s="29"/>
      <c r="C17" s="30"/>
      <c r="D17" s="29" t="s">
        <v>331</v>
      </c>
      <c r="E17" s="802">
        <v>0</v>
      </c>
      <c r="F17" s="802">
        <v>0</v>
      </c>
      <c r="G17" s="802">
        <v>0</v>
      </c>
      <c r="H17" s="1015">
        <v>0</v>
      </c>
      <c r="I17" s="802">
        <v>0</v>
      </c>
      <c r="J17" s="811">
        <f t="shared" si="0"/>
        <v>0</v>
      </c>
      <c r="K17" s="802">
        <f t="shared" si="1"/>
        <v>0</v>
      </c>
      <c r="L17" s="802"/>
      <c r="M17" s="412"/>
      <c r="N17" s="412"/>
      <c r="O17" s="557"/>
    </row>
    <row r="18" spans="1:15" ht="15.75" hidden="1">
      <c r="A18" s="778"/>
      <c r="B18" s="612"/>
      <c r="C18" s="610"/>
      <c r="D18" s="1" t="s">
        <v>8</v>
      </c>
      <c r="E18" s="802">
        <v>0</v>
      </c>
      <c r="F18" s="802">
        <v>0</v>
      </c>
      <c r="G18" s="802">
        <v>0</v>
      </c>
      <c r="H18" s="1015">
        <v>0</v>
      </c>
      <c r="I18" s="802">
        <v>0</v>
      </c>
      <c r="J18" s="811">
        <f t="shared" si="0"/>
        <v>0</v>
      </c>
      <c r="K18" s="802">
        <f t="shared" si="1"/>
        <v>0</v>
      </c>
      <c r="L18" s="802"/>
      <c r="M18" s="412"/>
      <c r="N18" s="412"/>
      <c r="O18" s="557"/>
    </row>
    <row r="19" spans="1:15" hidden="1">
      <c r="A19" s="611"/>
      <c r="B19" s="610"/>
      <c r="C19" s="611"/>
      <c r="D19" s="1" t="s">
        <v>207</v>
      </c>
      <c r="E19" s="802">
        <v>0</v>
      </c>
      <c r="F19" s="802">
        <v>0</v>
      </c>
      <c r="G19" s="802">
        <v>0</v>
      </c>
      <c r="H19" s="1015">
        <v>0</v>
      </c>
      <c r="I19" s="802"/>
      <c r="J19" s="811">
        <f t="shared" si="0"/>
        <v>0</v>
      </c>
      <c r="K19" s="802">
        <f t="shared" si="1"/>
        <v>0</v>
      </c>
      <c r="L19" s="412"/>
      <c r="M19" s="412"/>
      <c r="N19" s="557"/>
      <c r="O19" s="557"/>
    </row>
    <row r="20" spans="1:15" ht="18">
      <c r="A20" s="611">
        <v>100</v>
      </c>
      <c r="B20" s="610">
        <v>0</v>
      </c>
      <c r="C20" s="611">
        <v>48000</v>
      </c>
      <c r="D20" s="1" t="s">
        <v>10</v>
      </c>
      <c r="E20" s="802">
        <v>29320</v>
      </c>
      <c r="F20" s="802">
        <v>19223</v>
      </c>
      <c r="G20" s="802">
        <v>12000</v>
      </c>
      <c r="H20" s="802">
        <v>15000</v>
      </c>
      <c r="I20" s="416"/>
      <c r="J20" s="811">
        <f t="shared" si="0"/>
        <v>0</v>
      </c>
      <c r="K20" s="802">
        <f t="shared" si="1"/>
        <v>0</v>
      </c>
      <c r="L20" s="412"/>
      <c r="M20" s="412"/>
      <c r="N20" s="557"/>
      <c r="O20" s="557"/>
    </row>
    <row r="21" spans="1:15" ht="18">
      <c r="A21" s="611">
        <v>100</v>
      </c>
      <c r="B21" s="610">
        <v>0</v>
      </c>
      <c r="C21" s="611">
        <v>46023</v>
      </c>
      <c r="D21" s="1" t="s">
        <v>240</v>
      </c>
      <c r="E21" s="802">
        <v>24236</v>
      </c>
      <c r="F21" s="802">
        <v>120364</v>
      </c>
      <c r="G21" s="802">
        <v>32000</v>
      </c>
      <c r="H21" s="802">
        <v>32000</v>
      </c>
      <c r="I21" s="755">
        <v>1</v>
      </c>
      <c r="J21" s="811">
        <f t="shared" si="0"/>
        <v>0</v>
      </c>
      <c r="K21" s="802">
        <f t="shared" si="1"/>
        <v>0</v>
      </c>
      <c r="L21" s="412"/>
      <c r="M21" s="412"/>
      <c r="N21" s="557"/>
      <c r="O21" s="557"/>
    </row>
    <row r="22" spans="1:15" ht="18">
      <c r="A22" s="610">
        <v>100</v>
      </c>
      <c r="B22" s="610">
        <v>0</v>
      </c>
      <c r="C22" s="611">
        <v>46021</v>
      </c>
      <c r="D22" s="1" t="s">
        <v>241</v>
      </c>
      <c r="E22" s="802">
        <v>74152</v>
      </c>
      <c r="F22" s="802">
        <v>0</v>
      </c>
      <c r="G22" s="802">
        <v>78000</v>
      </c>
      <c r="H22" s="802">
        <v>78000</v>
      </c>
      <c r="I22" s="755">
        <v>2</v>
      </c>
      <c r="J22" s="811">
        <f t="shared" si="0"/>
        <v>0</v>
      </c>
      <c r="K22" s="802">
        <f t="shared" si="1"/>
        <v>0</v>
      </c>
      <c r="L22" s="412"/>
      <c r="M22" s="412"/>
      <c r="N22" s="557"/>
      <c r="O22" s="557"/>
    </row>
    <row r="23" spans="1:15" ht="18">
      <c r="A23" s="610">
        <v>100</v>
      </c>
      <c r="B23" s="610">
        <v>0</v>
      </c>
      <c r="C23" s="611">
        <v>46024</v>
      </c>
      <c r="D23" s="1" t="s">
        <v>242</v>
      </c>
      <c r="E23" s="802">
        <v>792</v>
      </c>
      <c r="F23" s="802">
        <v>0</v>
      </c>
      <c r="G23" s="802">
        <v>4900</v>
      </c>
      <c r="H23" s="802">
        <v>4900</v>
      </c>
      <c r="I23" s="755">
        <v>3</v>
      </c>
      <c r="J23" s="811">
        <f t="shared" si="0"/>
        <v>0</v>
      </c>
      <c r="K23" s="802">
        <f t="shared" si="1"/>
        <v>0</v>
      </c>
      <c r="L23" s="412"/>
      <c r="M23" s="412"/>
      <c r="N23" s="557"/>
      <c r="O23" s="557"/>
    </row>
    <row r="24" spans="1:15" ht="18">
      <c r="A24" s="610">
        <v>100</v>
      </c>
      <c r="B24" s="610">
        <v>0</v>
      </c>
      <c r="C24" s="611">
        <v>46027</v>
      </c>
      <c r="D24" s="1" t="s">
        <v>356</v>
      </c>
      <c r="E24" s="802">
        <v>6183</v>
      </c>
      <c r="F24" s="802">
        <v>0</v>
      </c>
      <c r="G24" s="802">
        <v>14000</v>
      </c>
      <c r="H24" s="802">
        <v>14000</v>
      </c>
      <c r="I24" s="755">
        <v>4</v>
      </c>
      <c r="J24" s="811">
        <f t="shared" si="0"/>
        <v>0</v>
      </c>
      <c r="K24" s="802">
        <f t="shared" si="1"/>
        <v>0</v>
      </c>
      <c r="L24" s="412"/>
      <c r="M24" s="412"/>
      <c r="N24" s="557"/>
      <c r="O24" s="557"/>
    </row>
    <row r="25" spans="1:15">
      <c r="A25" s="611">
        <v>100</v>
      </c>
      <c r="B25" s="610">
        <v>0</v>
      </c>
      <c r="C25" s="611">
        <v>41030</v>
      </c>
      <c r="D25" s="1" t="s">
        <v>11</v>
      </c>
      <c r="E25" s="802">
        <v>17064</v>
      </c>
      <c r="F25" s="802">
        <v>24833</v>
      </c>
      <c r="G25" s="802">
        <v>22400</v>
      </c>
      <c r="H25" s="802">
        <v>25000</v>
      </c>
      <c r="I25" s="776"/>
      <c r="J25" s="811">
        <f t="shared" si="0"/>
        <v>0</v>
      </c>
      <c r="K25" s="802">
        <f t="shared" si="1"/>
        <v>0</v>
      </c>
      <c r="L25" s="412"/>
      <c r="M25" s="802" t="s">
        <v>446</v>
      </c>
      <c r="N25" s="557"/>
      <c r="O25" s="557"/>
    </row>
    <row r="26" spans="1:15">
      <c r="A26" s="610">
        <v>100</v>
      </c>
      <c r="B26" s="610">
        <v>0</v>
      </c>
      <c r="C26" s="611">
        <v>46057</v>
      </c>
      <c r="D26" s="1" t="s">
        <v>12</v>
      </c>
      <c r="E26" s="802">
        <v>1738</v>
      </c>
      <c r="F26" s="802">
        <v>3260</v>
      </c>
      <c r="G26" s="802">
        <v>4000</v>
      </c>
      <c r="H26" s="802">
        <v>1000</v>
      </c>
      <c r="I26" s="557"/>
      <c r="J26" s="811">
        <f t="shared" si="0"/>
        <v>0</v>
      </c>
      <c r="K26" s="802">
        <f t="shared" si="1"/>
        <v>0</v>
      </c>
      <c r="L26" s="412"/>
      <c r="M26" s="412"/>
      <c r="N26" s="557"/>
      <c r="O26" s="557"/>
    </row>
    <row r="27" spans="1:15" s="778" customFormat="1">
      <c r="A27" s="610">
        <v>100</v>
      </c>
      <c r="B27" s="610">
        <v>0</v>
      </c>
      <c r="C27" s="611">
        <v>47300</v>
      </c>
      <c r="D27" s="778" t="s">
        <v>515</v>
      </c>
      <c r="E27" s="802">
        <v>6500</v>
      </c>
      <c r="F27" s="802">
        <v>0</v>
      </c>
      <c r="G27" s="802">
        <v>0</v>
      </c>
      <c r="H27" s="1015">
        <v>0</v>
      </c>
      <c r="I27" s="776"/>
      <c r="J27" s="811">
        <f t="shared" si="0"/>
        <v>0</v>
      </c>
      <c r="K27" s="802">
        <f t="shared" si="1"/>
        <v>0</v>
      </c>
      <c r="L27" s="802"/>
      <c r="M27" s="802"/>
      <c r="N27" s="776"/>
      <c r="O27" s="776"/>
    </row>
    <row r="28" spans="1:15" ht="18">
      <c r="A28" s="610">
        <v>100</v>
      </c>
      <c r="B28" s="610">
        <v>0</v>
      </c>
      <c r="C28" s="611">
        <v>42001</v>
      </c>
      <c r="D28" s="1" t="s">
        <v>13</v>
      </c>
      <c r="E28" s="802">
        <v>550</v>
      </c>
      <c r="F28" s="802">
        <v>7659</v>
      </c>
      <c r="G28" s="802">
        <v>10000</v>
      </c>
      <c r="H28" s="1015">
        <v>10000</v>
      </c>
      <c r="I28" s="756"/>
      <c r="J28" s="811">
        <f t="shared" si="0"/>
        <v>0</v>
      </c>
      <c r="K28" s="802">
        <f t="shared" si="1"/>
        <v>0</v>
      </c>
      <c r="L28" s="412"/>
      <c r="M28" s="412"/>
      <c r="N28" s="557"/>
      <c r="O28" s="557"/>
    </row>
    <row r="29" spans="1:15" ht="18">
      <c r="A29" s="610">
        <v>100</v>
      </c>
      <c r="B29" s="610">
        <v>0</v>
      </c>
      <c r="C29" s="611">
        <v>40001</v>
      </c>
      <c r="D29" s="1" t="s">
        <v>14</v>
      </c>
      <c r="E29" s="802">
        <v>137952</v>
      </c>
      <c r="F29" s="802">
        <v>183825</v>
      </c>
      <c r="G29" s="802">
        <v>185000</v>
      </c>
      <c r="H29" s="1015">
        <v>185000</v>
      </c>
      <c r="I29" s="416"/>
      <c r="J29" s="811">
        <f t="shared" si="0"/>
        <v>0</v>
      </c>
      <c r="K29" s="802">
        <f t="shared" si="1"/>
        <v>0</v>
      </c>
      <c r="L29" s="412"/>
      <c r="M29" s="412"/>
      <c r="N29" s="557"/>
      <c r="O29" s="557"/>
    </row>
    <row r="30" spans="1:15" ht="18">
      <c r="A30" s="610">
        <v>100</v>
      </c>
      <c r="B30" s="610">
        <v>0</v>
      </c>
      <c r="C30" s="611">
        <v>40002</v>
      </c>
      <c r="D30" s="1" t="s">
        <v>15</v>
      </c>
      <c r="E30" s="802">
        <v>783</v>
      </c>
      <c r="F30" s="802">
        <v>0</v>
      </c>
      <c r="G30" s="802">
        <v>500</v>
      </c>
      <c r="H30" s="1015">
        <v>500</v>
      </c>
      <c r="I30" s="416"/>
      <c r="J30" s="811">
        <f t="shared" si="0"/>
        <v>0</v>
      </c>
      <c r="K30" s="802">
        <f t="shared" si="1"/>
        <v>0</v>
      </c>
      <c r="L30" s="412"/>
      <c r="M30" s="412"/>
      <c r="N30" s="557"/>
      <c r="O30" s="613"/>
    </row>
    <row r="31" spans="1:15" ht="18">
      <c r="A31" s="610">
        <v>100</v>
      </c>
      <c r="B31" s="610">
        <v>0</v>
      </c>
      <c r="C31" s="611">
        <v>46055</v>
      </c>
      <c r="D31" s="1" t="s">
        <v>45</v>
      </c>
      <c r="E31" s="802">
        <v>324</v>
      </c>
      <c r="F31" s="802">
        <v>6861</v>
      </c>
      <c r="G31" s="802">
        <v>200</v>
      </c>
      <c r="H31" s="1015">
        <v>200</v>
      </c>
      <c r="I31" s="416"/>
      <c r="J31" s="811">
        <f t="shared" si="0"/>
        <v>0</v>
      </c>
      <c r="K31" s="802">
        <f t="shared" si="1"/>
        <v>0</v>
      </c>
      <c r="L31" s="412"/>
      <c r="M31" s="412"/>
      <c r="N31" s="557"/>
      <c r="O31" s="614"/>
    </row>
    <row r="32" spans="1:15" s="778" customFormat="1" ht="18">
      <c r="A32" s="610">
        <v>100</v>
      </c>
      <c r="B32" s="610">
        <v>0</v>
      </c>
      <c r="C32" s="1047">
        <v>47900</v>
      </c>
      <c r="D32" s="778" t="s">
        <v>567</v>
      </c>
      <c r="E32" s="802">
        <v>0</v>
      </c>
      <c r="F32" s="802">
        <v>50000</v>
      </c>
      <c r="G32" s="802"/>
      <c r="H32" s="1015"/>
      <c r="I32" s="416"/>
      <c r="J32" s="811">
        <f t="shared" ref="J32" si="2">IF($O$5="Yes",H32,0)</f>
        <v>0</v>
      </c>
      <c r="K32" s="802">
        <f t="shared" ref="K32" si="3">IF($P$5="Yes",J32,0)</f>
        <v>0</v>
      </c>
      <c r="L32" s="802"/>
      <c r="M32" s="802"/>
      <c r="N32" s="776"/>
      <c r="O32" s="614"/>
    </row>
    <row r="33" spans="1:15" s="778" customFormat="1" ht="18">
      <c r="A33" s="610">
        <v>100</v>
      </c>
      <c r="B33" s="610">
        <v>0</v>
      </c>
      <c r="C33" s="611">
        <v>46020</v>
      </c>
      <c r="D33" s="778" t="s">
        <v>492</v>
      </c>
      <c r="E33" s="802">
        <v>11619</v>
      </c>
      <c r="F33" s="802">
        <v>37012</v>
      </c>
      <c r="G33" s="802">
        <v>22800</v>
      </c>
      <c r="H33" s="1015">
        <v>22800</v>
      </c>
      <c r="I33" s="416"/>
      <c r="J33" s="811">
        <f t="shared" si="0"/>
        <v>0</v>
      </c>
      <c r="K33" s="802">
        <f t="shared" si="1"/>
        <v>0</v>
      </c>
      <c r="L33" s="802"/>
      <c r="M33" s="802"/>
      <c r="N33" s="776"/>
      <c r="O33" s="614"/>
    </row>
    <row r="34" spans="1:15" ht="18">
      <c r="A34" s="610">
        <v>100</v>
      </c>
      <c r="B34" s="610">
        <v>0</v>
      </c>
      <c r="C34" s="611">
        <v>41010</v>
      </c>
      <c r="D34" s="1" t="s">
        <v>16</v>
      </c>
      <c r="E34" s="802">
        <v>9213</v>
      </c>
      <c r="F34" s="802">
        <v>11308</v>
      </c>
      <c r="G34" s="802">
        <v>10500</v>
      </c>
      <c r="H34" s="1015">
        <v>10500</v>
      </c>
      <c r="I34" s="416"/>
      <c r="J34" s="811">
        <f t="shared" si="0"/>
        <v>0</v>
      </c>
      <c r="K34" s="802">
        <f t="shared" si="1"/>
        <v>0</v>
      </c>
      <c r="L34" s="412"/>
      <c r="M34" s="412"/>
      <c r="N34" s="557"/>
      <c r="O34" s="557"/>
    </row>
    <row r="35" spans="1:15" ht="18">
      <c r="A35" s="610">
        <v>100</v>
      </c>
      <c r="B35" s="610">
        <v>0</v>
      </c>
      <c r="C35" s="611">
        <v>46028</v>
      </c>
      <c r="D35" s="1" t="s">
        <v>239</v>
      </c>
      <c r="E35" s="802">
        <v>0</v>
      </c>
      <c r="F35" s="802">
        <v>0</v>
      </c>
      <c r="G35" s="802">
        <v>120</v>
      </c>
      <c r="H35" s="1015">
        <v>120</v>
      </c>
      <c r="I35" s="416"/>
      <c r="J35" s="811">
        <f t="shared" si="0"/>
        <v>0</v>
      </c>
      <c r="K35" s="802">
        <f t="shared" si="1"/>
        <v>0</v>
      </c>
      <c r="L35" s="412"/>
      <c r="M35" s="412"/>
      <c r="N35" s="557"/>
      <c r="O35" s="557"/>
    </row>
    <row r="36" spans="1:15" ht="18" hidden="1">
      <c r="A36" s="610"/>
      <c r="B36" s="610"/>
      <c r="C36" s="611"/>
      <c r="D36" s="1" t="s">
        <v>312</v>
      </c>
      <c r="E36" s="802">
        <v>0</v>
      </c>
      <c r="F36" s="802">
        <v>0</v>
      </c>
      <c r="G36" s="802">
        <v>0</v>
      </c>
      <c r="H36" s="1015">
        <v>0</v>
      </c>
      <c r="I36" s="416"/>
      <c r="J36" s="811">
        <f t="shared" si="0"/>
        <v>0</v>
      </c>
      <c r="K36" s="802">
        <f t="shared" si="1"/>
        <v>0</v>
      </c>
      <c r="L36" s="412"/>
      <c r="M36" s="412"/>
      <c r="N36" s="557"/>
      <c r="O36" s="557"/>
    </row>
    <row r="37" spans="1:15" ht="18">
      <c r="A37" s="610"/>
      <c r="B37" s="610"/>
      <c r="C37" s="611"/>
      <c r="D37" s="1" t="s">
        <v>418</v>
      </c>
      <c r="E37" s="802">
        <v>0</v>
      </c>
      <c r="F37" s="802">
        <v>0</v>
      </c>
      <c r="G37" s="802">
        <v>0</v>
      </c>
      <c r="H37" s="1015">
        <v>700000</v>
      </c>
      <c r="I37" s="416"/>
      <c r="J37" s="811">
        <f t="shared" si="0"/>
        <v>0</v>
      </c>
      <c r="K37" s="802">
        <f t="shared" si="1"/>
        <v>0</v>
      </c>
      <c r="L37" s="412"/>
      <c r="M37" s="551" t="s">
        <v>573</v>
      </c>
      <c r="N37" s="557"/>
      <c r="O37" s="557"/>
    </row>
    <row r="38" spans="1:15" s="778" customFormat="1" ht="18">
      <c r="A38" s="610">
        <v>100</v>
      </c>
      <c r="B38" s="610">
        <v>0</v>
      </c>
      <c r="C38" s="611">
        <v>42060</v>
      </c>
      <c r="D38" s="778" t="s">
        <v>514</v>
      </c>
      <c r="E38" s="802">
        <v>82698</v>
      </c>
      <c r="F38" s="802">
        <v>52822</v>
      </c>
      <c r="G38" s="802">
        <v>15000</v>
      </c>
      <c r="H38" s="1015">
        <v>15000</v>
      </c>
      <c r="I38" s="416"/>
      <c r="J38" s="811">
        <f t="shared" si="0"/>
        <v>0</v>
      </c>
      <c r="K38" s="802">
        <f t="shared" si="1"/>
        <v>0</v>
      </c>
      <c r="L38" s="802"/>
      <c r="M38" s="802"/>
      <c r="N38" s="776"/>
      <c r="O38" s="776"/>
    </row>
    <row r="39" spans="1:15" s="778" customFormat="1" ht="18">
      <c r="A39" s="610">
        <v>100</v>
      </c>
      <c r="B39" s="610">
        <v>0</v>
      </c>
      <c r="C39" s="611">
        <v>41100</v>
      </c>
      <c r="D39" s="778" t="s">
        <v>493</v>
      </c>
      <c r="E39" s="802">
        <v>32720</v>
      </c>
      <c r="F39" s="802">
        <v>130351</v>
      </c>
      <c r="G39" s="802">
        <v>119100</v>
      </c>
      <c r="H39" s="1015">
        <v>119100</v>
      </c>
      <c r="I39" s="416"/>
      <c r="J39" s="811">
        <f t="shared" si="0"/>
        <v>0</v>
      </c>
      <c r="K39" s="802">
        <f t="shared" si="1"/>
        <v>0</v>
      </c>
      <c r="L39" s="802"/>
      <c r="M39" s="802"/>
      <c r="N39" s="776"/>
      <c r="O39" s="776"/>
    </row>
    <row r="40" spans="1:15" s="778" customFormat="1" ht="18">
      <c r="A40" s="610">
        <v>100</v>
      </c>
      <c r="B40" s="610">
        <v>0</v>
      </c>
      <c r="C40" s="611">
        <v>41200</v>
      </c>
      <c r="D40" s="778" t="s">
        <v>513</v>
      </c>
      <c r="E40" s="802">
        <v>5000</v>
      </c>
      <c r="F40" s="802">
        <v>5000</v>
      </c>
      <c r="G40" s="802">
        <v>500</v>
      </c>
      <c r="H40" s="1015">
        <v>500</v>
      </c>
      <c r="I40" s="416"/>
      <c r="J40" s="811">
        <f t="shared" si="0"/>
        <v>0</v>
      </c>
      <c r="K40" s="802">
        <f t="shared" si="1"/>
        <v>0</v>
      </c>
      <c r="L40" s="802"/>
      <c r="M40" s="802"/>
      <c r="N40" s="776"/>
      <c r="O40" s="776"/>
    </row>
    <row r="41" spans="1:15" s="778" customFormat="1" ht="18">
      <c r="A41" s="610">
        <v>100</v>
      </c>
      <c r="B41" s="610">
        <v>0</v>
      </c>
      <c r="C41" s="611">
        <v>49500</v>
      </c>
      <c r="D41" s="778" t="s">
        <v>516</v>
      </c>
      <c r="E41" s="802">
        <v>150000</v>
      </c>
      <c r="F41" s="802">
        <v>0</v>
      </c>
      <c r="G41" s="802">
        <v>0</v>
      </c>
      <c r="H41" s="1015">
        <v>0</v>
      </c>
      <c r="I41" s="416"/>
      <c r="J41" s="811">
        <f t="shared" si="0"/>
        <v>0</v>
      </c>
      <c r="K41" s="802">
        <f t="shared" si="1"/>
        <v>0</v>
      </c>
      <c r="L41" s="802"/>
      <c r="M41" s="802"/>
      <c r="N41" s="776"/>
      <c r="O41" s="776"/>
    </row>
    <row r="42" spans="1:15" s="778" customFormat="1" ht="18">
      <c r="A42" s="610">
        <v>100</v>
      </c>
      <c r="B42" s="610">
        <v>0</v>
      </c>
      <c r="C42" s="611">
        <v>49530</v>
      </c>
      <c r="D42" s="778" t="s">
        <v>517</v>
      </c>
      <c r="E42" s="802">
        <v>600000</v>
      </c>
      <c r="F42" s="802">
        <v>0</v>
      </c>
      <c r="G42" s="802">
        <v>0</v>
      </c>
      <c r="H42" s="1015">
        <v>0</v>
      </c>
      <c r="I42" s="416"/>
      <c r="J42" s="811">
        <f t="shared" si="0"/>
        <v>0</v>
      </c>
      <c r="K42" s="802">
        <f t="shared" si="1"/>
        <v>0</v>
      </c>
      <c r="L42" s="802"/>
      <c r="M42" s="802"/>
      <c r="N42" s="776"/>
      <c r="O42" s="776"/>
    </row>
    <row r="43" spans="1:15" ht="15.75" thickBot="1">
      <c r="A43" s="610">
        <v>100</v>
      </c>
      <c r="B43" s="610">
        <v>0</v>
      </c>
      <c r="C43" s="611">
        <v>49600</v>
      </c>
      <c r="D43" s="1" t="s">
        <v>171</v>
      </c>
      <c r="E43" s="559">
        <v>0</v>
      </c>
      <c r="F43" s="812">
        <v>14996</v>
      </c>
      <c r="G43" s="817">
        <v>10000</v>
      </c>
      <c r="H43" s="1016">
        <v>10000</v>
      </c>
      <c r="I43" s="559"/>
      <c r="J43" s="615">
        <f t="shared" si="0"/>
        <v>0</v>
      </c>
      <c r="K43" s="615">
        <f t="shared" si="1"/>
        <v>0</v>
      </c>
      <c r="L43" s="559"/>
      <c r="M43" s="559"/>
      <c r="N43" s="557"/>
      <c r="O43" s="557"/>
    </row>
    <row r="44" spans="1:15" ht="16.5" thickTop="1">
      <c r="A44" s="610" t="s">
        <v>5</v>
      </c>
      <c r="B44" s="610"/>
      <c r="C44" s="611"/>
      <c r="D44" s="3" t="s">
        <v>404</v>
      </c>
      <c r="E44" s="419">
        <f>SUM(E10:E43)</f>
        <v>1545450</v>
      </c>
      <c r="F44" s="804">
        <f>SUM(F10:F43)</f>
        <v>1136731</v>
      </c>
      <c r="G44" s="419">
        <f>SUM(G10:G43)</f>
        <v>1003520</v>
      </c>
      <c r="H44" s="804">
        <f>SUM(H10:H43)</f>
        <v>1816120</v>
      </c>
      <c r="I44" s="557"/>
      <c r="J44" s="804">
        <f t="shared" ref="J44:K44" si="4">SUM(J10:J43)</f>
        <v>0</v>
      </c>
      <c r="K44" s="804">
        <f t="shared" si="4"/>
        <v>0</v>
      </c>
      <c r="L44" s="409"/>
      <c r="M44" s="409"/>
      <c r="N44" s="557"/>
      <c r="O44" s="557"/>
    </row>
    <row r="45" spans="1:15" ht="18">
      <c r="A45" s="610"/>
      <c r="B45" s="610"/>
      <c r="C45" s="611"/>
      <c r="D45" s="1" t="s">
        <v>429</v>
      </c>
      <c r="E45" s="412">
        <f>SUM(E11:E43)</f>
        <v>1243487</v>
      </c>
      <c r="F45" s="412">
        <f>SUM(F44-F10)</f>
        <v>745324</v>
      </c>
      <c r="G45" s="412">
        <f>SUM(G44-G10)</f>
        <v>603520</v>
      </c>
      <c r="H45" s="802">
        <f>SUM(H44-H10)</f>
        <v>1316120</v>
      </c>
      <c r="I45" s="555"/>
      <c r="J45" s="802">
        <f t="shared" ref="J45:K45" si="5">SUM(J44-J10)</f>
        <v>0</v>
      </c>
      <c r="K45" s="802">
        <f t="shared" si="5"/>
        <v>0</v>
      </c>
      <c r="L45" s="557"/>
      <c r="M45" s="557"/>
      <c r="N45" s="557"/>
      <c r="O45" s="557"/>
    </row>
    <row r="46" spans="1:15" ht="10.15" customHeight="1">
      <c r="A46" s="610"/>
      <c r="B46" s="610"/>
      <c r="C46" s="611"/>
      <c r="E46" s="412"/>
      <c r="G46" s="412"/>
      <c r="H46" s="802"/>
      <c r="I46" s="555"/>
      <c r="J46" s="805"/>
      <c r="K46" s="805"/>
      <c r="L46" s="420"/>
      <c r="M46" s="420"/>
      <c r="N46" s="557"/>
      <c r="O46" s="557"/>
    </row>
    <row r="47" spans="1:15" ht="18.75">
      <c r="A47" s="610"/>
      <c r="B47" s="610"/>
      <c r="C47" s="611"/>
      <c r="D47" s="3" t="s">
        <v>18</v>
      </c>
      <c r="E47" s="412"/>
      <c r="G47" s="412"/>
      <c r="H47" s="802"/>
      <c r="I47" s="416"/>
      <c r="J47" s="811"/>
      <c r="K47" s="802"/>
      <c r="L47" s="412"/>
      <c r="M47" s="412"/>
      <c r="N47" s="557"/>
      <c r="O47" s="557"/>
    </row>
    <row r="48" spans="1:15" ht="18">
      <c r="A48" s="610"/>
      <c r="B48" s="610"/>
      <c r="C48" s="611"/>
      <c r="D48" s="1" t="s">
        <v>19</v>
      </c>
      <c r="E48" s="802">
        <v>134555</v>
      </c>
      <c r="F48" s="802">
        <f>'GF-Admin &amp; Plng'!F31</f>
        <v>139134</v>
      </c>
      <c r="G48" s="802">
        <v>229801.62328426228</v>
      </c>
      <c r="H48" s="802">
        <f>SUM('GF-Admin &amp; Plng'!$H31)</f>
        <v>307636.44156196585</v>
      </c>
      <c r="I48" s="416"/>
      <c r="J48" s="802">
        <f t="shared" ref="J48:J51" si="6">IF($O$5="Yes",H48,0)</f>
        <v>0</v>
      </c>
      <c r="K48" s="802">
        <f t="shared" ref="K48:K51" si="7">IF($P$5="Yes",J48,0)</f>
        <v>0</v>
      </c>
      <c r="L48" s="412"/>
      <c r="M48" s="412" t="s">
        <v>518</v>
      </c>
      <c r="N48" s="557"/>
      <c r="O48" s="557"/>
    </row>
    <row r="49" spans="1:15" ht="18">
      <c r="A49" s="610"/>
      <c r="B49" s="610"/>
      <c r="C49" s="611"/>
      <c r="D49" s="1" t="s">
        <v>21</v>
      </c>
      <c r="E49" s="802">
        <v>19189</v>
      </c>
      <c r="F49" s="802">
        <f>'GF-Parks'!F59</f>
        <v>31311</v>
      </c>
      <c r="G49" s="802">
        <v>58151.58195289188</v>
      </c>
      <c r="H49" s="802">
        <f>'GF-Parks'!H56-H66</f>
        <v>63272.513347511325</v>
      </c>
      <c r="I49" s="416"/>
      <c r="J49" s="802">
        <f t="shared" si="6"/>
        <v>0</v>
      </c>
      <c r="K49" s="802">
        <f t="shared" si="7"/>
        <v>0</v>
      </c>
      <c r="L49" s="412"/>
      <c r="M49" s="412"/>
      <c r="N49" s="557"/>
      <c r="O49" s="557"/>
    </row>
    <row r="50" spans="1:15" ht="18" customHeight="1">
      <c r="A50" s="610"/>
      <c r="B50" s="610"/>
      <c r="C50" s="611"/>
      <c r="D50" s="1" t="s">
        <v>64</v>
      </c>
      <c r="E50" s="802">
        <v>39775</v>
      </c>
      <c r="F50" s="802">
        <f>'GF-Public Safety'!F56</f>
        <v>41031</v>
      </c>
      <c r="G50" s="802">
        <v>45403.411999999997</v>
      </c>
      <c r="H50" s="802">
        <f>'GF-Public Safety'!H53-H68</f>
        <v>45403.411999999997</v>
      </c>
      <c r="I50" s="416"/>
      <c r="J50" s="802">
        <f t="shared" si="6"/>
        <v>0</v>
      </c>
      <c r="K50" s="802">
        <f t="shared" si="7"/>
        <v>0</v>
      </c>
      <c r="L50" s="412"/>
      <c r="M50" s="412"/>
      <c r="N50" s="557"/>
      <c r="O50" s="557"/>
    </row>
    <row r="51" spans="1:15" ht="18.75" thickBot="1">
      <c r="A51" s="610"/>
      <c r="B51" s="610"/>
      <c r="C51" s="611"/>
      <c r="D51" s="1" t="s">
        <v>20</v>
      </c>
      <c r="E51" s="615">
        <v>160794</v>
      </c>
      <c r="F51" s="615">
        <f>'GF-NonDep''t'!F74</f>
        <v>282003</v>
      </c>
      <c r="G51" s="615">
        <v>158674</v>
      </c>
      <c r="H51" s="615">
        <f>'GF-NonDep''t'!H74</f>
        <v>908674</v>
      </c>
      <c r="I51" s="416"/>
      <c r="J51" s="615">
        <f t="shared" si="6"/>
        <v>0</v>
      </c>
      <c r="K51" s="615">
        <f t="shared" si="7"/>
        <v>0</v>
      </c>
      <c r="L51" s="559"/>
      <c r="M51" s="559"/>
      <c r="N51" s="557"/>
      <c r="O51" s="557"/>
    </row>
    <row r="52" spans="1:15" ht="19.5" thickTop="1">
      <c r="A52" s="610"/>
      <c r="B52" s="610"/>
      <c r="C52" s="611"/>
      <c r="D52" s="3" t="s">
        <v>22</v>
      </c>
      <c r="E52" s="51">
        <f>SUM(E48:E51)</f>
        <v>354313</v>
      </c>
      <c r="F52" s="784">
        <f>SUM(F48:F51)</f>
        <v>493479</v>
      </c>
      <c r="G52" s="51">
        <f>SUM(G48:G51)</f>
        <v>492030.61723715416</v>
      </c>
      <c r="H52" s="51">
        <f>SUM(H48:H51)</f>
        <v>1324986.3669094772</v>
      </c>
      <c r="I52" s="416"/>
      <c r="J52" s="784">
        <f>SUM(J48:J51)</f>
        <v>0</v>
      </c>
      <c r="K52" s="784">
        <f>SUM(K48:K51)</f>
        <v>0</v>
      </c>
      <c r="L52" s="51"/>
      <c r="M52" s="51"/>
      <c r="N52" s="557"/>
      <c r="O52" s="557"/>
    </row>
    <row r="53" spans="1:15" ht="10.15" customHeight="1">
      <c r="A53" s="610"/>
      <c r="B53" s="610"/>
      <c r="C53" s="611"/>
      <c r="D53" s="3"/>
      <c r="E53" s="412"/>
      <c r="G53" s="412"/>
      <c r="H53" s="557"/>
      <c r="I53" s="416"/>
      <c r="J53" s="784"/>
      <c r="K53" s="784"/>
      <c r="L53" s="51"/>
      <c r="M53" s="51"/>
      <c r="N53" s="557"/>
      <c r="O53" s="557"/>
    </row>
    <row r="54" spans="1:15" s="778" customFormat="1" ht="18" customHeight="1">
      <c r="A54" s="610"/>
      <c r="B54" s="610"/>
      <c r="C54" s="611"/>
      <c r="D54" s="3" t="s">
        <v>489</v>
      </c>
      <c r="E54" s="802"/>
      <c r="F54" s="802"/>
      <c r="G54" s="802"/>
      <c r="H54" s="776"/>
      <c r="I54" s="416"/>
      <c r="J54" s="784"/>
      <c r="K54" s="784"/>
      <c r="L54" s="784"/>
      <c r="M54" s="784"/>
      <c r="N54" s="776"/>
      <c r="O54" s="776"/>
    </row>
    <row r="55" spans="1:15" s="778" customFormat="1" ht="18" customHeight="1">
      <c r="A55" s="610"/>
      <c r="B55" s="610"/>
      <c r="C55" s="611"/>
      <c r="D55" s="3" t="s">
        <v>489</v>
      </c>
      <c r="E55" s="819">
        <v>772476</v>
      </c>
      <c r="F55" s="819">
        <f>'GF-NonDep''t'!F53</f>
        <v>17602</v>
      </c>
      <c r="G55" s="819">
        <f>'GF-NonDep''t'!G49</f>
        <v>10000</v>
      </c>
      <c r="H55" s="621">
        <f>'GF-NonDep''t'!H49</f>
        <v>0</v>
      </c>
      <c r="I55" s="617"/>
      <c r="J55" s="802">
        <f t="shared" ref="J55" si="8">IF($O$5="Yes",H55,0)</f>
        <v>0</v>
      </c>
      <c r="K55" s="802">
        <f t="shared" ref="K55" si="9">IF($P$5="Yes",J55,0)</f>
        <v>0</v>
      </c>
      <c r="L55" s="784"/>
      <c r="M55" s="784"/>
      <c r="N55" s="776"/>
      <c r="O55" s="776"/>
    </row>
    <row r="56" spans="1:15" s="778" customFormat="1" ht="18" hidden="1" customHeight="1">
      <c r="A56" s="610"/>
      <c r="B56" s="610"/>
      <c r="C56" s="611"/>
      <c r="E56" s="802"/>
      <c r="F56" s="802"/>
      <c r="G56" s="802"/>
      <c r="H56" s="776"/>
      <c r="I56" s="416"/>
      <c r="J56" s="811"/>
      <c r="K56" s="811"/>
      <c r="L56" s="784"/>
      <c r="M56" s="784"/>
      <c r="N56" s="776"/>
      <c r="O56" s="776"/>
    </row>
    <row r="57" spans="1:15" s="778" customFormat="1" ht="10.15" customHeight="1">
      <c r="A57" s="610"/>
      <c r="B57" s="610"/>
      <c r="C57" s="611"/>
      <c r="D57" s="3"/>
      <c r="E57" s="802"/>
      <c r="F57" s="802"/>
      <c r="G57" s="802"/>
      <c r="H57" s="776"/>
      <c r="I57" s="416"/>
      <c r="J57" s="784"/>
      <c r="K57" s="784"/>
      <c r="L57" s="784"/>
      <c r="M57" s="784"/>
      <c r="N57" s="776"/>
      <c r="O57" s="776"/>
    </row>
    <row r="58" spans="1:15" ht="18.75">
      <c r="A58" s="610"/>
      <c r="B58" s="610"/>
      <c r="C58" s="611"/>
      <c r="D58" s="3" t="s">
        <v>123</v>
      </c>
      <c r="E58" s="412"/>
      <c r="G58" s="802"/>
      <c r="H58" s="557"/>
      <c r="I58" s="416"/>
      <c r="J58" s="784"/>
      <c r="K58" s="784"/>
      <c r="L58" s="51"/>
      <c r="M58" s="51"/>
      <c r="N58" s="557"/>
      <c r="O58" s="557"/>
    </row>
    <row r="59" spans="1:15" ht="18.75">
      <c r="A59" s="610"/>
      <c r="B59" s="610"/>
      <c r="C59" s="611"/>
      <c r="D59" s="1" t="s">
        <v>386</v>
      </c>
      <c r="E59" s="816">
        <v>22254</v>
      </c>
      <c r="F59" s="816">
        <f>'GF-NonDep''t'!F63</f>
        <v>22254</v>
      </c>
      <c r="G59" s="816">
        <v>22254</v>
      </c>
      <c r="H59" s="816">
        <f>'GF-NonDep''t'!H63</f>
        <v>22254</v>
      </c>
      <c r="I59" s="416"/>
      <c r="J59" s="818">
        <f t="shared" ref="J59" si="10">IF($O$5="Yes",H59,0)</f>
        <v>0</v>
      </c>
      <c r="K59" s="818">
        <f>IF($P$5="Yes",J59,0)</f>
        <v>0</v>
      </c>
      <c r="L59" s="420"/>
      <c r="M59" s="51" t="s">
        <v>399</v>
      </c>
      <c r="N59" s="557"/>
      <c r="O59" s="557"/>
    </row>
    <row r="60" spans="1:15" ht="18.75">
      <c r="A60" s="610"/>
      <c r="B60" s="610"/>
      <c r="C60" s="611"/>
      <c r="D60" s="3" t="s">
        <v>387</v>
      </c>
      <c r="E60" s="616">
        <f>E59</f>
        <v>22254</v>
      </c>
      <c r="F60" s="616">
        <f t="shared" ref="F60:H60" si="11">F59</f>
        <v>22254</v>
      </c>
      <c r="G60" s="616">
        <f t="shared" si="11"/>
        <v>22254</v>
      </c>
      <c r="H60" s="819">
        <f t="shared" si="11"/>
        <v>22254</v>
      </c>
      <c r="I60" s="617"/>
      <c r="J60" s="819">
        <f t="shared" ref="J60:K60" si="12">J59</f>
        <v>0</v>
      </c>
      <c r="K60" s="819">
        <f t="shared" si="12"/>
        <v>0</v>
      </c>
      <c r="L60" s="616"/>
      <c r="M60" s="51"/>
      <c r="N60" s="557"/>
      <c r="O60" s="557"/>
    </row>
    <row r="61" spans="1:15" ht="10.15" customHeight="1">
      <c r="A61" s="610"/>
      <c r="B61" s="610"/>
      <c r="C61" s="611"/>
      <c r="D61" s="3"/>
      <c r="E61" s="412"/>
      <c r="G61" s="412"/>
      <c r="H61" s="802"/>
      <c r="I61" s="416"/>
      <c r="J61" s="784"/>
      <c r="K61" s="784"/>
      <c r="L61" s="51"/>
      <c r="M61" s="51"/>
      <c r="N61" s="557"/>
      <c r="O61" s="557"/>
    </row>
    <row r="62" spans="1:15" ht="18.75">
      <c r="A62" s="610"/>
      <c r="B62" s="610"/>
      <c r="C62" s="611"/>
      <c r="D62" s="3" t="s">
        <v>290</v>
      </c>
      <c r="E62" s="412"/>
      <c r="G62" s="412"/>
      <c r="H62" s="802"/>
      <c r="I62" s="416"/>
      <c r="J62" s="811"/>
      <c r="K62" s="802"/>
      <c r="L62" s="412"/>
      <c r="M62" s="412"/>
      <c r="N62" s="557"/>
      <c r="O62" s="557"/>
    </row>
    <row r="63" spans="1:15" s="778" customFormat="1" ht="18">
      <c r="A63" s="610"/>
      <c r="B63" s="610"/>
      <c r="C63" s="611"/>
      <c r="D63" s="806" t="s">
        <v>496</v>
      </c>
      <c r="E63" s="418">
        <v>0</v>
      </c>
      <c r="F63" s="418">
        <v>9577</v>
      </c>
      <c r="G63" s="418">
        <v>9577</v>
      </c>
      <c r="H63" s="802">
        <f>'GF-NonDep''t'!H56</f>
        <v>9577</v>
      </c>
      <c r="I63" s="416"/>
      <c r="J63" s="812">
        <f t="shared" ref="J63:J64" si="13">IF($O$5="Yes",H63,0)</f>
        <v>0</v>
      </c>
      <c r="K63" s="814">
        <f t="shared" ref="K63:K64" si="14">IF($P$5="Yes",J63,0)</f>
        <v>0</v>
      </c>
      <c r="L63" s="802"/>
      <c r="M63" s="802"/>
      <c r="N63" s="776"/>
      <c r="O63" s="776"/>
    </row>
    <row r="64" spans="1:15" s="778" customFormat="1" ht="18">
      <c r="A64" s="610"/>
      <c r="B64" s="610"/>
      <c r="C64" s="611"/>
      <c r="D64" s="806" t="s">
        <v>497</v>
      </c>
      <c r="E64" s="418">
        <v>0</v>
      </c>
      <c r="F64" s="418">
        <v>38307</v>
      </c>
      <c r="G64" s="418">
        <v>38307</v>
      </c>
      <c r="H64" s="802">
        <f>'GF-NonDep''t'!H57</f>
        <v>38307</v>
      </c>
      <c r="I64" s="416"/>
      <c r="J64" s="812">
        <f t="shared" si="13"/>
        <v>0</v>
      </c>
      <c r="K64" s="814">
        <f t="shared" si="14"/>
        <v>0</v>
      </c>
      <c r="L64" s="802"/>
      <c r="M64" s="802"/>
      <c r="N64" s="776"/>
      <c r="O64" s="776"/>
    </row>
    <row r="65" spans="1:17" ht="18">
      <c r="A65" s="610"/>
      <c r="B65" s="610"/>
      <c r="C65" s="611"/>
      <c r="D65" s="1" t="s">
        <v>194</v>
      </c>
      <c r="E65" s="814">
        <v>0</v>
      </c>
      <c r="F65" s="814">
        <v>0</v>
      </c>
      <c r="G65" s="598">
        <v>0</v>
      </c>
      <c r="H65" s="814">
        <f>'GF-NonDep''t'!H58</f>
        <v>0</v>
      </c>
      <c r="I65" s="631"/>
      <c r="J65" s="812">
        <f>IF($O$5="Yes",H65,0)</f>
        <v>0</v>
      </c>
      <c r="K65" s="814">
        <f t="shared" ref="K65:K68" si="15">IF($P$5="Yes",J65,0)</f>
        <v>0</v>
      </c>
      <c r="L65" s="598"/>
      <c r="M65" s="598"/>
      <c r="N65" s="557"/>
      <c r="O65" s="557"/>
    </row>
    <row r="66" spans="1:17" ht="18">
      <c r="A66" s="610"/>
      <c r="B66" s="610"/>
      <c r="C66" s="611"/>
      <c r="D66" s="1" t="s">
        <v>427</v>
      </c>
      <c r="E66" s="814">
        <v>5000</v>
      </c>
      <c r="F66" s="814">
        <v>5000</v>
      </c>
      <c r="G66" s="814">
        <v>5000</v>
      </c>
      <c r="H66" s="814">
        <f>'GF-Parks'!H45</f>
        <v>5000</v>
      </c>
      <c r="I66" s="631"/>
      <c r="J66" s="812">
        <f>IF($O$5="Yes",H66,0)</f>
        <v>0</v>
      </c>
      <c r="K66" s="814">
        <f t="shared" si="15"/>
        <v>0</v>
      </c>
      <c r="L66" s="598"/>
      <c r="M66" s="598"/>
      <c r="N66" s="557"/>
      <c r="O66" s="557"/>
    </row>
    <row r="67" spans="1:17" ht="18">
      <c r="A67" s="610"/>
      <c r="B67" s="610"/>
      <c r="C67" s="611"/>
      <c r="D67" s="1" t="s">
        <v>428</v>
      </c>
      <c r="E67" s="814">
        <v>0</v>
      </c>
      <c r="F67" s="814">
        <v>0</v>
      </c>
      <c r="G67" s="814">
        <v>0</v>
      </c>
      <c r="H67" s="814">
        <v>0</v>
      </c>
      <c r="I67" s="631"/>
      <c r="J67" s="812">
        <f>IF($O$5="Yes",H67,0)</f>
        <v>0</v>
      </c>
      <c r="K67" s="814">
        <f t="shared" si="15"/>
        <v>0</v>
      </c>
      <c r="L67" s="598"/>
      <c r="M67" s="598"/>
      <c r="N67" s="557"/>
      <c r="O67" s="557"/>
    </row>
    <row r="68" spans="1:17" ht="18">
      <c r="A68" s="610"/>
      <c r="B68" s="610"/>
      <c r="C68" s="611"/>
      <c r="D68" s="778" t="s">
        <v>454</v>
      </c>
      <c r="E68" s="816">
        <v>0</v>
      </c>
      <c r="F68" s="816">
        <v>0</v>
      </c>
      <c r="G68" s="816">
        <v>0</v>
      </c>
      <c r="H68" s="816">
        <f>'GF-Public Safety'!H42</f>
        <v>0</v>
      </c>
      <c r="I68" s="631"/>
      <c r="J68" s="813">
        <f>IF($O$5="Yes",H68,0)</f>
        <v>0</v>
      </c>
      <c r="K68" s="816">
        <f t="shared" si="15"/>
        <v>0</v>
      </c>
      <c r="L68" s="598"/>
      <c r="M68" s="598"/>
      <c r="N68" s="557"/>
      <c r="O68" s="557"/>
    </row>
    <row r="69" spans="1:17" s="778" customFormat="1" ht="18" hidden="1">
      <c r="A69" s="610"/>
      <c r="B69" s="610"/>
      <c r="C69" s="611"/>
      <c r="D69" s="778" t="s">
        <v>490</v>
      </c>
      <c r="E69" s="816">
        <v>0</v>
      </c>
      <c r="F69" s="816">
        <v>0</v>
      </c>
      <c r="G69" s="816">
        <v>0</v>
      </c>
      <c r="H69" s="938">
        <v>0</v>
      </c>
      <c r="I69" s="416"/>
      <c r="J69" s="813">
        <v>0</v>
      </c>
      <c r="K69" s="816">
        <v>0</v>
      </c>
      <c r="L69" s="814"/>
      <c r="M69" s="814"/>
      <c r="N69" s="776"/>
      <c r="O69" s="776"/>
    </row>
    <row r="70" spans="1:17" s="3" customFormat="1" ht="18.75">
      <c r="A70" s="544"/>
      <c r="B70" s="544"/>
      <c r="C70" s="612"/>
      <c r="D70" s="3" t="s">
        <v>25</v>
      </c>
      <c r="E70" s="51">
        <f>SUM(E62:E69)</f>
        <v>5000</v>
      </c>
      <c r="F70" s="51">
        <f>SUM(F62:F69)</f>
        <v>52884</v>
      </c>
      <c r="G70" s="51">
        <f>SUM(G62:G69)</f>
        <v>52884</v>
      </c>
      <c r="H70" s="51">
        <f>SUM(H62:H68)</f>
        <v>52884</v>
      </c>
      <c r="I70" s="617"/>
      <c r="J70" s="784">
        <f>SUM(J62:J68)</f>
        <v>0</v>
      </c>
      <c r="K70" s="784">
        <f>SUM(K62:K68)</f>
        <v>0</v>
      </c>
      <c r="L70" s="51"/>
      <c r="M70" s="51"/>
      <c r="N70" s="621"/>
      <c r="O70" s="621"/>
    </row>
    <row r="71" spans="1:17" ht="18">
      <c r="A71" s="610"/>
      <c r="B71" s="610"/>
      <c r="C71" s="611"/>
      <c r="E71" s="412"/>
      <c r="G71" s="412"/>
      <c r="H71" s="557"/>
      <c r="I71" s="555"/>
      <c r="J71" s="811"/>
      <c r="K71" s="811"/>
      <c r="L71" s="556"/>
      <c r="M71" s="556"/>
      <c r="N71" s="557"/>
      <c r="O71" s="557"/>
    </row>
    <row r="72" spans="1:17" ht="19.5" thickBot="1">
      <c r="A72" s="610">
        <v>100</v>
      </c>
      <c r="B72" s="610">
        <v>998</v>
      </c>
      <c r="C72" s="611">
        <v>58000</v>
      </c>
      <c r="D72" s="778" t="s">
        <v>91</v>
      </c>
      <c r="E72" s="618">
        <v>0</v>
      </c>
      <c r="F72" s="618">
        <v>0</v>
      </c>
      <c r="G72" s="619">
        <v>150000</v>
      </c>
      <c r="H72" s="619">
        <v>100000</v>
      </c>
      <c r="I72" s="555"/>
      <c r="J72" s="817">
        <f>IF($O$5="Yes",H72,0)</f>
        <v>0</v>
      </c>
      <c r="K72" s="820">
        <f>IF($P$5="Yes",J72,0)</f>
        <v>0</v>
      </c>
      <c r="L72" s="620"/>
      <c r="M72" s="620"/>
      <c r="N72" s="557"/>
      <c r="O72" s="557"/>
    </row>
    <row r="73" spans="1:17" ht="19.5" thickTop="1">
      <c r="A73" s="610"/>
      <c r="B73" s="610"/>
      <c r="C73" s="611"/>
      <c r="D73" s="3" t="s">
        <v>360</v>
      </c>
      <c r="E73" s="621">
        <f>E52+E55+E60+E70+E72</f>
        <v>1154043</v>
      </c>
      <c r="F73" s="621">
        <f>F52+F55+F60+F70+F72</f>
        <v>586219</v>
      </c>
      <c r="G73" s="621">
        <f>G52+G55+G60+G70+G72</f>
        <v>727168.61723715416</v>
      </c>
      <c r="H73" s="621">
        <f>H52+H55+H60+H70+H72</f>
        <v>1500124.3669094772</v>
      </c>
      <c r="I73" s="555"/>
      <c r="J73" s="621">
        <f>J52+J55+J60+J70+J72</f>
        <v>0</v>
      </c>
      <c r="K73" s="621">
        <f>K52+K55+K60+K70+K72</f>
        <v>0</v>
      </c>
      <c r="L73" s="621"/>
      <c r="M73" s="620"/>
      <c r="N73" s="557"/>
      <c r="O73" s="557"/>
    </row>
    <row r="74" spans="1:17" ht="10.15" customHeight="1">
      <c r="A74" s="610"/>
      <c r="B74" s="610"/>
      <c r="C74" s="611"/>
      <c r="E74" s="412"/>
      <c r="G74" s="412"/>
      <c r="H74" s="557"/>
      <c r="I74" s="416"/>
      <c r="J74" s="811"/>
      <c r="K74" s="802"/>
      <c r="L74" s="412"/>
      <c r="M74" s="412"/>
      <c r="N74" s="557"/>
      <c r="O74" s="557"/>
    </row>
    <row r="75" spans="1:17" ht="19.5" thickBot="1">
      <c r="A75" s="610">
        <v>100</v>
      </c>
      <c r="B75" s="610">
        <v>999</v>
      </c>
      <c r="C75" s="611">
        <v>59000</v>
      </c>
      <c r="D75" s="3" t="s">
        <v>400</v>
      </c>
      <c r="E75" s="615">
        <v>391407</v>
      </c>
      <c r="F75" s="615">
        <f>F44-F73</f>
        <v>550512</v>
      </c>
      <c r="G75" s="615">
        <v>286351</v>
      </c>
      <c r="H75" s="615">
        <f>SUM(H44-H52-H60-H70-H72)</f>
        <v>315995.63309052284</v>
      </c>
      <c r="I75" s="416"/>
      <c r="J75" s="615">
        <f>IF($O$5="Yes",H75,0)</f>
        <v>0</v>
      </c>
      <c r="K75" s="615">
        <f>IF($P$5="Yes",J75,0)</f>
        <v>0</v>
      </c>
      <c r="L75" s="559"/>
      <c r="M75" s="559"/>
      <c r="N75" s="557"/>
      <c r="O75" s="557"/>
      <c r="P75" s="622"/>
    </row>
    <row r="76" spans="1:17" ht="20.25" thickTop="1" thickBot="1">
      <c r="A76" s="610"/>
      <c r="B76" s="610"/>
      <c r="C76" s="611"/>
      <c r="D76" s="3" t="s">
        <v>150</v>
      </c>
      <c r="E76" s="623">
        <f>SUM(E73+E75)</f>
        <v>1545450</v>
      </c>
      <c r="F76" s="623">
        <f>SUM(F73+F75)</f>
        <v>1136731</v>
      </c>
      <c r="G76" s="623">
        <f t="shared" ref="G76:K76" si="16">SUM(G73+G75)</f>
        <v>1013519.6172371542</v>
      </c>
      <c r="H76" s="623">
        <f t="shared" si="16"/>
        <v>1816120</v>
      </c>
      <c r="I76" s="555"/>
      <c r="J76" s="821">
        <f t="shared" si="16"/>
        <v>0</v>
      </c>
      <c r="K76" s="821">
        <f t="shared" si="16"/>
        <v>0</v>
      </c>
      <c r="L76" s="624"/>
      <c r="M76" s="624"/>
      <c r="N76" s="557"/>
      <c r="O76" s="557"/>
    </row>
    <row r="77" spans="1:17" s="3" customFormat="1" ht="19.5" thickTop="1">
      <c r="A77" s="544"/>
      <c r="B77" s="544"/>
      <c r="C77" s="612"/>
      <c r="D77" s="625"/>
      <c r="E77" s="616"/>
      <c r="F77" s="616"/>
      <c r="G77" s="616"/>
      <c r="H77" s="621"/>
      <c r="I77" s="617"/>
      <c r="J77" s="784"/>
      <c r="K77" s="819"/>
      <c r="L77" s="621"/>
      <c r="M77" s="621"/>
      <c r="N77" s="621"/>
      <c r="O77" s="621"/>
      <c r="P77" s="626"/>
      <c r="Q77" s="627"/>
    </row>
    <row r="78" spans="1:17" s="3" customFormat="1" ht="18.75">
      <c r="A78" s="544"/>
      <c r="B78" s="544"/>
      <c r="C78" s="612"/>
      <c r="D78" s="625"/>
      <c r="E78" s="412"/>
      <c r="F78" s="412"/>
      <c r="G78" s="412"/>
      <c r="H78" s="621"/>
      <c r="I78" s="617"/>
      <c r="J78" s="784"/>
      <c r="K78" s="802"/>
      <c r="L78" s="557"/>
      <c r="M78" s="557"/>
      <c r="N78" s="621"/>
      <c r="O78" s="621"/>
    </row>
    <row r="79" spans="1:17" ht="18" customHeight="1">
      <c r="D79" s="1059" t="s">
        <v>451</v>
      </c>
      <c r="E79" s="1059"/>
      <c r="F79" s="1059"/>
      <c r="G79" s="1059"/>
      <c r="H79" s="1059"/>
      <c r="J79" s="806"/>
      <c r="K79" s="806"/>
    </row>
    <row r="80" spans="1:17">
      <c r="D80" s="778" t="s">
        <v>452</v>
      </c>
      <c r="G80" s="241"/>
      <c r="J80" s="806"/>
      <c r="K80" s="806"/>
    </row>
    <row r="81" spans="4:11">
      <c r="D81" s="778" t="s">
        <v>453</v>
      </c>
      <c r="G81" s="241"/>
      <c r="J81" s="806"/>
      <c r="K81" s="806"/>
    </row>
    <row r="82" spans="4:11">
      <c r="D82" s="1060" t="s">
        <v>520</v>
      </c>
      <c r="E82" s="1060"/>
      <c r="F82" s="1060"/>
      <c r="G82" s="1060"/>
      <c r="H82" s="1060"/>
      <c r="J82" s="806"/>
      <c r="K82" s="806"/>
    </row>
    <row r="83" spans="4:11">
      <c r="D83" s="1059"/>
      <c r="E83" s="1059"/>
      <c r="F83" s="1059"/>
      <c r="G83" s="1059"/>
      <c r="H83" s="1059"/>
      <c r="J83" s="806"/>
      <c r="K83" s="806"/>
    </row>
    <row r="84" spans="4:11">
      <c r="D84" s="628"/>
      <c r="E84" s="628"/>
      <c r="F84" s="628"/>
      <c r="G84" s="628"/>
      <c r="H84" s="628"/>
      <c r="J84" s="806"/>
      <c r="K84" s="806"/>
    </row>
    <row r="85" spans="4:11">
      <c r="D85" s="628"/>
      <c r="E85" s="628"/>
      <c r="F85" s="628"/>
      <c r="G85" s="628"/>
      <c r="H85" s="628"/>
      <c r="J85" s="806"/>
      <c r="K85" s="806"/>
    </row>
    <row r="86" spans="4:11">
      <c r="D86" s="628"/>
      <c r="E86" s="628"/>
      <c r="F86" s="628"/>
      <c r="G86" s="628"/>
      <c r="H86" s="628"/>
      <c r="J86" s="806"/>
      <c r="K86" s="806"/>
    </row>
    <row r="87" spans="4:11">
      <c r="D87" s="628"/>
      <c r="E87" s="628"/>
      <c r="F87" s="628"/>
      <c r="G87" s="628"/>
      <c r="H87" s="628"/>
      <c r="J87" s="806"/>
      <c r="K87" s="806"/>
    </row>
    <row r="88" spans="4:11">
      <c r="D88" s="628"/>
      <c r="E88" s="628"/>
      <c r="F88" s="628"/>
      <c r="G88" s="628"/>
      <c r="H88" s="628"/>
      <c r="J88" s="806"/>
      <c r="K88" s="806"/>
    </row>
    <row r="89" spans="4:11">
      <c r="D89" s="628"/>
      <c r="E89" s="628"/>
      <c r="F89" s="628"/>
      <c r="G89" s="628"/>
      <c r="H89" s="628"/>
      <c r="J89" s="806"/>
      <c r="K89" s="806"/>
    </row>
    <row r="90" spans="4:11">
      <c r="D90" s="628"/>
      <c r="E90" s="628"/>
      <c r="F90" s="628"/>
      <c r="G90" s="628"/>
      <c r="H90" s="628"/>
      <c r="J90" s="806"/>
      <c r="K90" s="806"/>
    </row>
    <row r="91" spans="4:11">
      <c r="D91" s="628"/>
      <c r="E91" s="628"/>
      <c r="F91" s="628"/>
      <c r="G91" s="628"/>
      <c r="H91" s="628"/>
    </row>
    <row r="93" spans="4:11">
      <c r="H93" s="622"/>
      <c r="J93" s="622"/>
    </row>
    <row r="110" spans="11:13">
      <c r="K110" s="629"/>
      <c r="L110" s="629"/>
      <c r="M110" s="629"/>
    </row>
    <row r="111" spans="11:13">
      <c r="K111" s="629"/>
      <c r="L111" s="629"/>
      <c r="M111" s="629"/>
    </row>
  </sheetData>
  <mergeCells count="6">
    <mergeCell ref="D1:K1"/>
    <mergeCell ref="D79:H79"/>
    <mergeCell ref="D82:H82"/>
    <mergeCell ref="D83:H83"/>
    <mergeCell ref="D4:K4"/>
    <mergeCell ref="D2:K2"/>
  </mergeCells>
  <phoneticPr fontId="15" type="noConversion"/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5"/>
  <sheetViews>
    <sheetView zoomScale="80" zoomScaleNormal="80" zoomScalePageLayoutView="70" workbookViewId="0">
      <selection activeCell="N26" sqref="N26"/>
    </sheetView>
  </sheetViews>
  <sheetFormatPr defaultColWidth="14.7109375" defaultRowHeight="16.5"/>
  <cols>
    <col min="1" max="1" width="9" style="6" customWidth="1"/>
    <col min="2" max="2" width="6.7109375" style="6" customWidth="1"/>
    <col min="3" max="3" width="10.5703125" style="6" customWidth="1"/>
    <col min="4" max="4" width="38.28515625" style="6" customWidth="1"/>
    <col min="5" max="6" width="14" style="6" customWidth="1"/>
    <col min="7" max="8" width="14" style="7" customWidth="1"/>
    <col min="9" max="9" width="2.140625" style="9" customWidth="1"/>
    <col min="10" max="11" width="14" style="6" customWidth="1"/>
    <col min="12" max="12" width="14.7109375" style="6" hidden="1" customWidth="1"/>
    <col min="13" max="16384" width="14.7109375" style="6"/>
  </cols>
  <sheetData>
    <row r="1" spans="1:16" ht="15.75">
      <c r="D1" s="1065" t="s">
        <v>46</v>
      </c>
      <c r="E1" s="1065"/>
      <c r="F1" s="1065"/>
      <c r="G1" s="1065"/>
      <c r="H1" s="1065"/>
      <c r="I1" s="1065"/>
      <c r="J1" s="1065"/>
      <c r="K1" s="1065"/>
      <c r="L1" s="1065"/>
      <c r="O1" s="39" t="s">
        <v>381</v>
      </c>
      <c r="P1" s="39" t="s">
        <v>382</v>
      </c>
    </row>
    <row r="2" spans="1:16" ht="15.75">
      <c r="D2" s="1063" t="s">
        <v>566</v>
      </c>
      <c r="E2" s="1064"/>
      <c r="F2" s="1064"/>
      <c r="G2" s="1064"/>
      <c r="H2" s="1064"/>
      <c r="I2" s="1064"/>
      <c r="J2" s="1064"/>
      <c r="K2" s="1064"/>
      <c r="L2" s="237"/>
      <c r="M2" s="203"/>
      <c r="O2" s="780" t="s">
        <v>568</v>
      </c>
      <c r="P2" s="780" t="s">
        <v>568</v>
      </c>
    </row>
    <row r="3" spans="1:16" ht="18">
      <c r="D3" s="240"/>
      <c r="E3" s="240"/>
      <c r="F3" s="240"/>
      <c r="G3" s="241"/>
      <c r="H3" s="241"/>
      <c r="I3" s="242"/>
      <c r="J3" s="240"/>
      <c r="K3" s="240"/>
      <c r="L3" s="240"/>
    </row>
    <row r="4" spans="1:16" ht="14.25">
      <c r="D4" s="1066" t="s">
        <v>47</v>
      </c>
      <c r="E4" s="1066"/>
      <c r="F4" s="1066"/>
      <c r="G4" s="1066"/>
      <c r="H4" s="1066"/>
      <c r="I4" s="1066"/>
      <c r="J4" s="1066"/>
      <c r="K4" s="1066"/>
      <c r="L4" s="1066"/>
    </row>
    <row r="5" spans="1:16">
      <c r="D5" s="54"/>
      <c r="E5" s="54"/>
      <c r="F5" s="54"/>
      <c r="G5" s="243"/>
      <c r="H5" s="243"/>
      <c r="I5" s="244"/>
      <c r="J5" s="54"/>
      <c r="K5" s="54"/>
      <c r="L5" s="54"/>
    </row>
    <row r="6" spans="1:16" s="16" customFormat="1" ht="14.25">
      <c r="D6" s="245"/>
      <c r="E6" s="246" t="s">
        <v>54</v>
      </c>
      <c r="F6" s="246" t="s">
        <v>54</v>
      </c>
      <c r="G6" s="247" t="s">
        <v>1</v>
      </c>
      <c r="H6" s="247" t="s">
        <v>2</v>
      </c>
      <c r="I6" s="248"/>
      <c r="J6" s="246" t="s">
        <v>376</v>
      </c>
      <c r="K6" s="249" t="s">
        <v>1</v>
      </c>
      <c r="L6" s="250"/>
      <c r="M6" s="17"/>
    </row>
    <row r="7" spans="1:16" s="16" customFormat="1" ht="14.25">
      <c r="D7" s="245"/>
      <c r="E7" s="246"/>
      <c r="F7" s="246"/>
      <c r="G7" s="247" t="s">
        <v>3</v>
      </c>
      <c r="H7" s="247" t="s">
        <v>56</v>
      </c>
      <c r="I7" s="248"/>
      <c r="J7" s="246" t="s">
        <v>56</v>
      </c>
      <c r="K7" s="249" t="s">
        <v>56</v>
      </c>
      <c r="L7" s="250"/>
      <c r="M7" s="17"/>
    </row>
    <row r="8" spans="1:16" s="39" customFormat="1" ht="14.25">
      <c r="A8" s="780"/>
      <c r="B8" s="780"/>
      <c r="C8" s="780"/>
      <c r="D8" s="245"/>
      <c r="E8" s="251" t="s">
        <v>330</v>
      </c>
      <c r="F8" s="251" t="s">
        <v>366</v>
      </c>
      <c r="G8" s="251" t="s">
        <v>472</v>
      </c>
      <c r="H8" s="1018" t="s">
        <v>473</v>
      </c>
      <c r="I8" s="248"/>
      <c r="J8" s="251" t="str">
        <f>H8</f>
        <v>2022-23</v>
      </c>
      <c r="K8" s="251" t="str">
        <f>J8</f>
        <v>2022-23</v>
      </c>
      <c r="L8" s="54"/>
    </row>
    <row r="9" spans="1:16">
      <c r="D9" s="252"/>
      <c r="E9" s="54"/>
      <c r="F9" s="54"/>
      <c r="G9" s="243"/>
      <c r="H9" s="243"/>
      <c r="I9" s="244"/>
      <c r="J9" s="54"/>
      <c r="K9" s="54"/>
      <c r="L9" s="54"/>
    </row>
    <row r="10" spans="1:16" ht="17.25">
      <c r="D10" s="253" t="s">
        <v>405</v>
      </c>
      <c r="E10" s="54"/>
      <c r="F10" s="54"/>
      <c r="G10" s="243"/>
      <c r="H10" s="243"/>
      <c r="I10" s="244"/>
      <c r="J10" s="54"/>
      <c r="K10" s="54"/>
      <c r="L10" s="54"/>
    </row>
    <row r="11" spans="1:16">
      <c r="A11" s="6" t="s">
        <v>561</v>
      </c>
      <c r="D11" s="252" t="s">
        <v>220</v>
      </c>
      <c r="E11" s="109">
        <v>40421</v>
      </c>
      <c r="F11" s="109">
        <v>77112</v>
      </c>
      <c r="G11" s="789">
        <v>76043.829822855929</v>
      </c>
      <c r="H11" s="933">
        <f>'Personnel by Fund'!F60</f>
        <v>78054.624458764229</v>
      </c>
      <c r="I11" s="716"/>
      <c r="J11" s="151">
        <f>IF($O$2="Yes",H11,0)</f>
        <v>0</v>
      </c>
      <c r="K11" s="109">
        <f>IF($P$2="Yes",J11,0)</f>
        <v>0</v>
      </c>
      <c r="L11" s="44"/>
      <c r="M11" s="44"/>
      <c r="N11" s="6" t="s">
        <v>503</v>
      </c>
    </row>
    <row r="12" spans="1:16">
      <c r="A12" s="6">
        <v>100</v>
      </c>
      <c r="B12" s="6">
        <v>100</v>
      </c>
      <c r="C12" s="6">
        <v>51030</v>
      </c>
      <c r="D12" s="54" t="s">
        <v>198</v>
      </c>
      <c r="E12" s="109">
        <v>3801</v>
      </c>
      <c r="F12" s="109">
        <v>4889</v>
      </c>
      <c r="G12" s="933">
        <v>10509.257281518687</v>
      </c>
      <c r="H12" s="933">
        <f>'Personnel by Fund'!F61</f>
        <v>10787.149100201215</v>
      </c>
      <c r="I12" s="715"/>
      <c r="J12" s="109">
        <f t="shared" ref="J12:J14" si="0">IF($O$2="Yes",H12,0)</f>
        <v>0</v>
      </c>
      <c r="K12" s="109">
        <f t="shared" ref="K12:K14" si="1">IF($P$2="Yes",J12,0)</f>
        <v>0</v>
      </c>
      <c r="L12" s="44"/>
      <c r="M12" s="44"/>
      <c r="N12" s="6" t="s">
        <v>504</v>
      </c>
    </row>
    <row r="13" spans="1:16">
      <c r="A13" s="6">
        <v>100</v>
      </c>
      <c r="B13" s="6">
        <v>100</v>
      </c>
      <c r="C13" s="6">
        <v>51010</v>
      </c>
      <c r="D13" s="54" t="s">
        <v>260</v>
      </c>
      <c r="E13" s="109">
        <v>10569</v>
      </c>
      <c r="F13" s="109">
        <v>17630</v>
      </c>
      <c r="G13" s="933">
        <v>17395.031999999999</v>
      </c>
      <c r="H13" s="933">
        <f>'Personnel by Fund'!F62</f>
        <v>17395.031999999999</v>
      </c>
      <c r="I13" s="716"/>
      <c r="J13" s="109">
        <f t="shared" si="0"/>
        <v>0</v>
      </c>
      <c r="K13" s="109">
        <f t="shared" si="1"/>
        <v>0</v>
      </c>
      <c r="L13" s="44"/>
      <c r="M13" s="44"/>
    </row>
    <row r="14" spans="1:16">
      <c r="A14" s="6">
        <v>100</v>
      </c>
      <c r="B14" s="6">
        <v>100</v>
      </c>
      <c r="C14" s="6">
        <v>51020</v>
      </c>
      <c r="D14" s="252" t="s">
        <v>276</v>
      </c>
      <c r="E14" s="110">
        <v>10243</v>
      </c>
      <c r="F14" s="110">
        <v>15376</v>
      </c>
      <c r="G14" s="786">
        <v>20653.50417988767</v>
      </c>
      <c r="H14" s="786">
        <f>'Personnel by Fund'!F63</f>
        <v>21199.636003000363</v>
      </c>
      <c r="I14" s="716"/>
      <c r="J14" s="110">
        <f t="shared" si="0"/>
        <v>0</v>
      </c>
      <c r="K14" s="110">
        <f t="shared" si="1"/>
        <v>0</v>
      </c>
      <c r="L14" s="44"/>
      <c r="M14" s="44"/>
    </row>
    <row r="15" spans="1:16" ht="17.25">
      <c r="D15" s="253" t="s">
        <v>406</v>
      </c>
      <c r="E15" s="409">
        <f>SUM(E11:E14)</f>
        <v>65034</v>
      </c>
      <c r="F15" s="420">
        <f>SUM(F11:F14)</f>
        <v>115007</v>
      </c>
      <c r="G15" s="805">
        <f>SUM(G11:G14)</f>
        <v>124601.62328426228</v>
      </c>
      <c r="H15" s="805">
        <f>SUM(H11:H14)</f>
        <v>127436.44156196582</v>
      </c>
      <c r="I15" s="715"/>
      <c r="J15" s="725">
        <f>SUM(J11:J14)</f>
        <v>0</v>
      </c>
      <c r="K15" s="420">
        <f>SUM(K11:K14)</f>
        <v>0</v>
      </c>
      <c r="L15" s="44"/>
      <c r="M15" s="44"/>
    </row>
    <row r="16" spans="1:16">
      <c r="D16" s="252"/>
      <c r="E16" s="109"/>
      <c r="F16" s="109"/>
      <c r="G16" s="933"/>
      <c r="H16" s="933"/>
      <c r="I16" s="715"/>
      <c r="J16" s="109"/>
      <c r="K16" s="109"/>
      <c r="L16" s="44"/>
      <c r="M16" s="44"/>
    </row>
    <row r="17" spans="1:14" ht="17.25">
      <c r="D17" s="253" t="s">
        <v>48</v>
      </c>
      <c r="E17" s="109"/>
      <c r="F17" s="109"/>
      <c r="G17" s="933"/>
      <c r="H17" s="933"/>
      <c r="I17" s="715"/>
      <c r="J17" s="109"/>
      <c r="K17" s="109"/>
      <c r="L17" s="44"/>
      <c r="M17" s="164"/>
    </row>
    <row r="18" spans="1:14">
      <c r="A18" s="6">
        <v>100</v>
      </c>
      <c r="B18" s="6">
        <v>100</v>
      </c>
      <c r="C18" s="6">
        <v>52002</v>
      </c>
      <c r="D18" s="252" t="s">
        <v>39</v>
      </c>
      <c r="E18" s="109">
        <v>0</v>
      </c>
      <c r="F18" s="933">
        <v>0</v>
      </c>
      <c r="G18" s="933">
        <v>200</v>
      </c>
      <c r="H18" s="1019">
        <v>200</v>
      </c>
      <c r="I18" s="715"/>
      <c r="J18" s="109">
        <f t="shared" ref="J18:J28" si="2">IF($O$2="Yes",H18,0)</f>
        <v>0</v>
      </c>
      <c r="K18" s="109">
        <f t="shared" ref="K18:K28" si="3">IF($P$2="Yes",J18,0)</f>
        <v>0</v>
      </c>
      <c r="L18" s="44"/>
      <c r="M18" s="44"/>
    </row>
    <row r="19" spans="1:14" hidden="1">
      <c r="D19" s="252" t="s">
        <v>34</v>
      </c>
      <c r="E19" s="109">
        <v>0</v>
      </c>
      <c r="F19" s="933">
        <v>0</v>
      </c>
      <c r="G19" s="933">
        <v>0</v>
      </c>
      <c r="H19" s="1019">
        <v>0</v>
      </c>
      <c r="I19" s="715"/>
      <c r="J19" s="109">
        <f t="shared" si="2"/>
        <v>0</v>
      </c>
      <c r="K19" s="109">
        <f t="shared" si="3"/>
        <v>0</v>
      </c>
      <c r="L19" s="44"/>
      <c r="M19" s="44"/>
    </row>
    <row r="20" spans="1:14">
      <c r="A20" s="6">
        <v>100</v>
      </c>
      <c r="B20" s="6">
        <v>100</v>
      </c>
      <c r="C20" s="6">
        <v>52010</v>
      </c>
      <c r="D20" s="252" t="s">
        <v>23</v>
      </c>
      <c r="E20" s="109">
        <v>296</v>
      </c>
      <c r="F20" s="933">
        <v>127</v>
      </c>
      <c r="G20" s="933">
        <v>250</v>
      </c>
      <c r="H20" s="1019">
        <v>250</v>
      </c>
      <c r="I20" s="715"/>
      <c r="J20" s="109">
        <f t="shared" si="2"/>
        <v>0</v>
      </c>
      <c r="K20" s="109">
        <f t="shared" si="3"/>
        <v>0</v>
      </c>
      <c r="L20" s="44"/>
      <c r="M20" s="44"/>
    </row>
    <row r="21" spans="1:14">
      <c r="A21" s="6">
        <v>100</v>
      </c>
      <c r="B21" s="6">
        <v>100</v>
      </c>
      <c r="C21" s="6">
        <v>52013</v>
      </c>
      <c r="D21" s="252" t="s">
        <v>40</v>
      </c>
      <c r="E21" s="735">
        <v>0</v>
      </c>
      <c r="F21" s="735">
        <v>0</v>
      </c>
      <c r="G21" s="735">
        <v>2500</v>
      </c>
      <c r="H21" s="1020">
        <v>2500</v>
      </c>
      <c r="I21" s="719"/>
      <c r="J21" s="735">
        <f t="shared" si="2"/>
        <v>0</v>
      </c>
      <c r="K21" s="735">
        <f t="shared" si="3"/>
        <v>0</v>
      </c>
      <c r="L21" s="44"/>
      <c r="M21" s="44"/>
    </row>
    <row r="22" spans="1:14">
      <c r="A22" s="6">
        <v>100</v>
      </c>
      <c r="B22" s="6">
        <v>100</v>
      </c>
      <c r="C22" s="6">
        <v>52017</v>
      </c>
      <c r="D22" s="252" t="s">
        <v>33</v>
      </c>
      <c r="E22" s="933">
        <v>12119</v>
      </c>
      <c r="F22" s="933">
        <v>0</v>
      </c>
      <c r="G22" s="933">
        <v>15000</v>
      </c>
      <c r="H22" s="1019">
        <v>15000</v>
      </c>
      <c r="I22" s="716"/>
      <c r="J22" s="933">
        <f t="shared" si="2"/>
        <v>0</v>
      </c>
      <c r="K22" s="933">
        <f t="shared" si="3"/>
        <v>0</v>
      </c>
      <c r="L22" s="44"/>
      <c r="M22" s="44"/>
    </row>
    <row r="23" spans="1:14">
      <c r="A23" s="6">
        <v>100</v>
      </c>
      <c r="B23" s="6">
        <v>100</v>
      </c>
      <c r="C23" s="6">
        <v>52018</v>
      </c>
      <c r="D23" s="252" t="s">
        <v>467</v>
      </c>
      <c r="E23" s="933">
        <v>32892</v>
      </c>
      <c r="F23" s="933">
        <v>0</v>
      </c>
      <c r="G23" s="933">
        <v>30000</v>
      </c>
      <c r="H23" s="1019">
        <v>30000</v>
      </c>
      <c r="I23" s="715"/>
      <c r="J23" s="933">
        <f t="shared" si="2"/>
        <v>0</v>
      </c>
      <c r="K23" s="933">
        <f t="shared" si="3"/>
        <v>0</v>
      </c>
      <c r="L23" s="410"/>
      <c r="M23" s="410"/>
      <c r="N23" s="198"/>
    </row>
    <row r="24" spans="1:14" ht="14.25">
      <c r="A24" s="6">
        <v>100</v>
      </c>
      <c r="B24" s="6">
        <v>100</v>
      </c>
      <c r="C24" s="6">
        <v>52019</v>
      </c>
      <c r="D24" s="252" t="s">
        <v>72</v>
      </c>
      <c r="E24" s="109">
        <v>24214</v>
      </c>
      <c r="F24" s="933">
        <v>24000</v>
      </c>
      <c r="G24" s="933">
        <v>27000</v>
      </c>
      <c r="H24" s="1019">
        <v>27000</v>
      </c>
      <c r="I24" s="717">
        <v>1</v>
      </c>
      <c r="J24" s="109">
        <f t="shared" si="2"/>
        <v>0</v>
      </c>
      <c r="K24" s="109">
        <f t="shared" si="3"/>
        <v>0</v>
      </c>
      <c r="L24" s="44"/>
      <c r="M24" s="44"/>
    </row>
    <row r="25" spans="1:14" ht="14.25">
      <c r="A25" s="6">
        <v>100</v>
      </c>
      <c r="B25" s="6">
        <v>100</v>
      </c>
      <c r="C25" s="6">
        <v>52020</v>
      </c>
      <c r="D25" s="254" t="s">
        <v>521</v>
      </c>
      <c r="E25" s="735">
        <v>0</v>
      </c>
      <c r="F25" s="735">
        <v>0</v>
      </c>
      <c r="G25" s="933">
        <v>30000</v>
      </c>
      <c r="H25" s="1019">
        <v>30000</v>
      </c>
      <c r="I25" s="717"/>
      <c r="J25" s="735">
        <f t="shared" si="2"/>
        <v>0</v>
      </c>
      <c r="K25" s="735">
        <f t="shared" si="3"/>
        <v>0</v>
      </c>
      <c r="L25" s="728"/>
      <c r="M25" s="728"/>
    </row>
    <row r="26" spans="1:14" ht="14.25">
      <c r="A26" s="6">
        <v>100</v>
      </c>
      <c r="B26" s="6">
        <v>100</v>
      </c>
      <c r="C26" s="1048">
        <v>52031</v>
      </c>
      <c r="D26" s="254" t="s">
        <v>575</v>
      </c>
      <c r="E26" s="735">
        <v>0</v>
      </c>
      <c r="F26" s="735">
        <v>0</v>
      </c>
      <c r="G26" s="933">
        <v>0</v>
      </c>
      <c r="H26" s="933">
        <f>50000+25000</f>
        <v>75000</v>
      </c>
      <c r="I26" s="717">
        <v>2</v>
      </c>
      <c r="J26" s="735">
        <f t="shared" si="2"/>
        <v>0</v>
      </c>
      <c r="K26" s="735">
        <f t="shared" si="3"/>
        <v>0</v>
      </c>
      <c r="L26" s="728"/>
      <c r="M26" s="728"/>
    </row>
    <row r="27" spans="1:14" ht="14.25">
      <c r="A27" s="6">
        <v>100</v>
      </c>
      <c r="B27" s="6">
        <v>100</v>
      </c>
      <c r="C27" s="6">
        <v>52106</v>
      </c>
      <c r="D27" s="254" t="s">
        <v>141</v>
      </c>
      <c r="E27" s="735">
        <v>0</v>
      </c>
      <c r="F27" s="735">
        <v>0</v>
      </c>
      <c r="G27" s="933">
        <v>250</v>
      </c>
      <c r="H27" s="933">
        <v>250</v>
      </c>
      <c r="I27" s="717"/>
      <c r="J27" s="718">
        <f t="shared" si="2"/>
        <v>0</v>
      </c>
      <c r="K27" s="718">
        <f t="shared" si="3"/>
        <v>0</v>
      </c>
      <c r="L27" s="44"/>
      <c r="M27" s="44"/>
    </row>
    <row r="28" spans="1:14">
      <c r="A28" s="6">
        <v>100</v>
      </c>
      <c r="B28" s="6">
        <v>100</v>
      </c>
      <c r="C28" s="6">
        <v>52107</v>
      </c>
      <c r="D28" s="252" t="s">
        <v>119</v>
      </c>
      <c r="E28" s="786">
        <v>0</v>
      </c>
      <c r="F28" s="786">
        <v>0</v>
      </c>
      <c r="G28" s="786">
        <v>0</v>
      </c>
      <c r="H28" s="786">
        <v>0</v>
      </c>
      <c r="I28" s="715"/>
      <c r="J28" s="786">
        <f t="shared" si="2"/>
        <v>0</v>
      </c>
      <c r="K28" s="786">
        <f t="shared" si="3"/>
        <v>0</v>
      </c>
      <c r="L28" s="44"/>
      <c r="M28" s="44"/>
    </row>
    <row r="29" spans="1:14" ht="17.25">
      <c r="D29" s="253" t="s">
        <v>49</v>
      </c>
      <c r="E29" s="411">
        <f>SUM(E18:E28)</f>
        <v>69521</v>
      </c>
      <c r="F29" s="440">
        <f>SUM(F18:F28)</f>
        <v>24127</v>
      </c>
      <c r="G29" s="726">
        <f>SUM(G18:G28)</f>
        <v>105200</v>
      </c>
      <c r="H29" s="440">
        <f>SUM(H18:H28)</f>
        <v>180200</v>
      </c>
      <c r="I29" s="716"/>
      <c r="J29" s="720">
        <f>SUM(J18:J28)</f>
        <v>0</v>
      </c>
      <c r="K29" s="720">
        <f>SUM(K18:K28)</f>
        <v>0</v>
      </c>
      <c r="L29" s="44"/>
      <c r="M29" s="44"/>
    </row>
    <row r="30" spans="1:14" ht="17.25" thickBot="1">
      <c r="D30" s="252"/>
      <c r="E30" s="412"/>
      <c r="F30" s="412"/>
      <c r="G30" s="412"/>
      <c r="H30" s="412"/>
      <c r="I30" s="716"/>
      <c r="J30" s="109"/>
      <c r="K30" s="412"/>
      <c r="L30" s="44"/>
      <c r="M30" s="44"/>
    </row>
    <row r="31" spans="1:14" ht="18" thickTop="1">
      <c r="D31" s="255" t="s">
        <v>50</v>
      </c>
      <c r="E31" s="413">
        <f>E15+E29</f>
        <v>134555</v>
      </c>
      <c r="F31" s="413">
        <f t="shared" ref="F31:H31" si="4">F15+F29</f>
        <v>139134</v>
      </c>
      <c r="G31" s="413">
        <f t="shared" si="4"/>
        <v>229801.62328426228</v>
      </c>
      <c r="H31" s="413">
        <f t="shared" si="4"/>
        <v>307636.44156196585</v>
      </c>
      <c r="I31" s="716"/>
      <c r="J31" s="413">
        <f t="shared" ref="J31:K31" si="5">J15+J29</f>
        <v>0</v>
      </c>
      <c r="K31" s="413">
        <f t="shared" si="5"/>
        <v>0</v>
      </c>
      <c r="L31" s="44"/>
      <c r="M31" s="44"/>
    </row>
    <row r="32" spans="1:14">
      <c r="D32" s="252"/>
      <c r="E32" s="44"/>
      <c r="F32" s="109"/>
      <c r="G32" s="414"/>
      <c r="H32" s="414"/>
      <c r="I32" s="716"/>
      <c r="J32" s="109"/>
      <c r="K32" s="109"/>
      <c r="L32" s="44"/>
      <c r="M32" s="44"/>
    </row>
    <row r="33" spans="4:12" ht="14.25">
      <c r="D33" s="1067" t="s">
        <v>357</v>
      </c>
      <c r="E33" s="1067"/>
      <c r="F33" s="1067"/>
      <c r="G33" s="1067"/>
      <c r="H33" s="1067"/>
      <c r="I33" s="1067"/>
      <c r="J33" s="1067"/>
      <c r="K33" s="1067"/>
      <c r="L33" s="54"/>
    </row>
    <row r="34" spans="4:12" ht="14.25">
      <c r="D34" s="1068" t="s">
        <v>578</v>
      </c>
      <c r="E34" s="1069"/>
      <c r="F34" s="1069"/>
      <c r="G34" s="1069"/>
      <c r="H34" s="1069"/>
      <c r="I34" s="1069"/>
      <c r="J34" s="1069"/>
      <c r="K34" s="1069"/>
      <c r="L34" s="54"/>
    </row>
    <row r="35" spans="4:12" ht="14.25">
      <c r="D35" s="317"/>
      <c r="E35" s="317"/>
      <c r="F35" s="317"/>
      <c r="G35" s="318"/>
      <c r="H35" s="318"/>
      <c r="I35" s="319"/>
      <c r="J35" s="317"/>
      <c r="K35" s="317"/>
      <c r="L35" s="54"/>
    </row>
    <row r="36" spans="4:12">
      <c r="E36" s="10">
        <f>E31-'Combined GF Revenues'!E48</f>
        <v>0</v>
      </c>
      <c r="F36" s="10">
        <f>F31-'Combined GF Revenues'!F48</f>
        <v>0</v>
      </c>
      <c r="G36" s="12">
        <f>G31-'Combined GF Revenues'!G48</f>
        <v>0</v>
      </c>
      <c r="H36" s="12">
        <f>H31-'Combined GF Revenues'!H48</f>
        <v>0</v>
      </c>
      <c r="J36" s="12">
        <f>J31-'Combined GF Revenues'!J48</f>
        <v>0</v>
      </c>
      <c r="K36" s="12">
        <f>K31-'Combined GF Revenues'!K48</f>
        <v>0</v>
      </c>
    </row>
    <row r="37" spans="4:12">
      <c r="D37" s="13"/>
      <c r="E37" s="14"/>
      <c r="F37" s="10"/>
      <c r="G37" s="12"/>
      <c r="H37" s="12"/>
    </row>
    <row r="38" spans="4:12">
      <c r="D38" s="13"/>
      <c r="E38" s="14"/>
      <c r="F38" s="10"/>
      <c r="G38" s="12"/>
      <c r="H38" s="12"/>
    </row>
    <row r="39" spans="4:12">
      <c r="D39" s="13"/>
      <c r="E39" s="14"/>
      <c r="F39" s="10"/>
      <c r="G39" s="12"/>
      <c r="H39" s="12"/>
    </row>
    <row r="40" spans="4:12">
      <c r="D40" s="13"/>
      <c r="E40" s="10"/>
      <c r="F40" s="10"/>
      <c r="G40" s="12"/>
      <c r="H40" s="12"/>
    </row>
    <row r="41" spans="4:12">
      <c r="D41" s="10"/>
      <c r="E41" s="10"/>
      <c r="F41" s="10"/>
      <c r="G41" s="12"/>
      <c r="H41" s="12"/>
    </row>
    <row r="42" spans="4:12">
      <c r="D42" s="10"/>
      <c r="E42" s="10"/>
      <c r="F42" s="10"/>
      <c r="G42" s="12"/>
      <c r="H42" s="12"/>
      <c r="I42" s="11"/>
    </row>
    <row r="43" spans="4:12">
      <c r="D43" s="10"/>
      <c r="E43" s="10"/>
      <c r="F43" s="10"/>
      <c r="G43" s="12"/>
      <c r="H43" s="12"/>
      <c r="I43" s="11"/>
    </row>
    <row r="44" spans="4:12" ht="17.25">
      <c r="D44" s="10"/>
      <c r="E44" s="10"/>
      <c r="F44" s="10"/>
      <c r="G44" s="12"/>
      <c r="H44" s="12"/>
      <c r="I44" s="11"/>
      <c r="K44" s="15"/>
    </row>
    <row r="45" spans="4:12">
      <c r="D45" s="10"/>
      <c r="E45" s="10"/>
      <c r="F45" s="10"/>
      <c r="G45" s="12"/>
      <c r="H45" s="12"/>
      <c r="I45" s="11"/>
    </row>
    <row r="46" spans="4:12">
      <c r="D46" s="10"/>
      <c r="E46" s="10"/>
      <c r="F46" s="10"/>
      <c r="G46" s="12"/>
      <c r="H46" s="12"/>
      <c r="I46" s="11"/>
    </row>
    <row r="47" spans="4:12">
      <c r="D47" s="10"/>
      <c r="E47" s="10"/>
      <c r="F47" s="10"/>
      <c r="G47" s="12"/>
      <c r="H47" s="12"/>
      <c r="I47" s="11"/>
    </row>
    <row r="48" spans="4:12">
      <c r="D48" s="10"/>
      <c r="E48" s="10"/>
      <c r="F48" s="10"/>
      <c r="G48" s="12"/>
      <c r="H48" s="12"/>
      <c r="I48" s="11"/>
    </row>
    <row r="49" spans="4:9">
      <c r="D49" s="10"/>
      <c r="E49" s="10"/>
      <c r="F49" s="10"/>
      <c r="G49" s="12"/>
      <c r="H49" s="12"/>
      <c r="I49" s="11"/>
    </row>
    <row r="50" spans="4:9">
      <c r="D50" s="10"/>
      <c r="E50" s="10"/>
      <c r="F50" s="10"/>
      <c r="G50" s="12"/>
      <c r="H50" s="12"/>
      <c r="I50" s="11"/>
    </row>
    <row r="51" spans="4:9">
      <c r="D51" s="10"/>
      <c r="E51" s="10"/>
      <c r="F51" s="10"/>
      <c r="G51" s="12"/>
      <c r="H51" s="12"/>
      <c r="I51" s="11" t="s">
        <v>5</v>
      </c>
    </row>
    <row r="52" spans="4:9">
      <c r="D52" s="10"/>
      <c r="E52" s="10"/>
      <c r="F52" s="10"/>
      <c r="G52" s="12"/>
      <c r="H52" s="12"/>
      <c r="I52" s="11"/>
    </row>
    <row r="53" spans="4:9">
      <c r="D53" s="10"/>
      <c r="E53" s="10"/>
      <c r="F53" s="10"/>
      <c r="G53" s="12"/>
      <c r="H53" s="12"/>
      <c r="I53" s="11"/>
    </row>
    <row r="54" spans="4:9">
      <c r="D54" s="10"/>
      <c r="E54" s="10"/>
      <c r="F54" s="10"/>
      <c r="G54" s="12"/>
      <c r="H54" s="12"/>
      <c r="I54" s="11"/>
    </row>
    <row r="55" spans="4:9">
      <c r="D55" s="10"/>
      <c r="E55" s="10"/>
      <c r="F55" s="10"/>
      <c r="G55" s="12"/>
      <c r="H55" s="12"/>
      <c r="I55" s="11"/>
    </row>
    <row r="56" spans="4:9">
      <c r="D56" s="10"/>
      <c r="E56" s="10"/>
      <c r="F56" s="10"/>
      <c r="G56" s="12"/>
      <c r="H56" s="12"/>
      <c r="I56" s="11"/>
    </row>
    <row r="57" spans="4:9">
      <c r="D57" s="10"/>
      <c r="E57" s="10"/>
      <c r="F57" s="10"/>
      <c r="G57" s="12"/>
      <c r="H57" s="12"/>
    </row>
    <row r="58" spans="4:9">
      <c r="D58" s="10"/>
      <c r="E58" s="10"/>
      <c r="F58" s="10"/>
      <c r="G58" s="12"/>
      <c r="H58" s="12"/>
    </row>
    <row r="59" spans="4:9">
      <c r="D59" s="10"/>
      <c r="E59" s="10"/>
      <c r="F59" s="10"/>
      <c r="G59" s="12"/>
      <c r="H59" s="12"/>
    </row>
    <row r="60" spans="4:9">
      <c r="D60" s="10"/>
      <c r="E60" s="10"/>
      <c r="F60" s="10"/>
      <c r="G60" s="12"/>
      <c r="H60" s="12"/>
    </row>
    <row r="61" spans="4:9">
      <c r="D61" s="10"/>
      <c r="E61" s="10"/>
      <c r="F61" s="10"/>
      <c r="G61" s="12"/>
      <c r="H61" s="12"/>
    </row>
    <row r="62" spans="4:9">
      <c r="D62" s="10"/>
      <c r="E62" s="10"/>
      <c r="F62" s="10"/>
      <c r="G62" s="12"/>
      <c r="H62" s="12"/>
    </row>
    <row r="63" spans="4:9">
      <c r="D63" s="10"/>
      <c r="E63" s="10"/>
      <c r="F63" s="10"/>
      <c r="G63" s="12"/>
      <c r="H63" s="12"/>
    </row>
    <row r="64" spans="4:9">
      <c r="D64" s="10"/>
      <c r="E64" s="10"/>
      <c r="F64" s="10"/>
      <c r="G64" s="12"/>
      <c r="H64" s="12"/>
    </row>
    <row r="65" spans="4:8">
      <c r="D65" s="10"/>
      <c r="E65" s="10"/>
      <c r="F65" s="10"/>
      <c r="G65" s="12"/>
      <c r="H65" s="12"/>
    </row>
    <row r="66" spans="4:8">
      <c r="D66" s="10"/>
      <c r="E66" s="10"/>
      <c r="F66" s="10"/>
      <c r="G66" s="12"/>
      <c r="H66" s="12"/>
    </row>
    <row r="67" spans="4:8">
      <c r="D67" s="10"/>
      <c r="E67" s="10"/>
      <c r="F67" s="10"/>
      <c r="G67" s="12"/>
      <c r="H67" s="12"/>
    </row>
    <row r="68" spans="4:8">
      <c r="D68" s="10"/>
      <c r="E68" s="10"/>
      <c r="F68" s="10"/>
      <c r="G68" s="12"/>
      <c r="H68" s="12"/>
    </row>
    <row r="69" spans="4:8">
      <c r="D69" s="10"/>
      <c r="E69" s="10"/>
      <c r="F69" s="10"/>
      <c r="G69" s="12"/>
      <c r="H69" s="12"/>
    </row>
    <row r="70" spans="4:8">
      <c r="D70" s="10"/>
      <c r="E70" s="10"/>
      <c r="F70" s="10"/>
      <c r="G70" s="12"/>
      <c r="H70" s="12"/>
    </row>
    <row r="71" spans="4:8">
      <c r="D71" s="10"/>
      <c r="E71" s="10"/>
      <c r="F71" s="10"/>
      <c r="G71" s="12"/>
      <c r="H71" s="12"/>
    </row>
    <row r="72" spans="4:8">
      <c r="D72" s="10"/>
      <c r="E72" s="10"/>
      <c r="F72" s="10"/>
      <c r="G72" s="12"/>
      <c r="H72" s="12"/>
    </row>
    <row r="73" spans="4:8">
      <c r="D73" s="10"/>
      <c r="E73" s="10"/>
      <c r="F73" s="10"/>
      <c r="G73" s="12"/>
      <c r="H73" s="12"/>
    </row>
    <row r="74" spans="4:8">
      <c r="D74" s="10"/>
      <c r="E74" s="10"/>
      <c r="F74" s="10"/>
      <c r="G74" s="12"/>
      <c r="H74" s="12"/>
    </row>
    <row r="75" spans="4:8">
      <c r="D75" s="10"/>
      <c r="E75" s="10"/>
      <c r="F75" s="10"/>
      <c r="G75" s="12"/>
      <c r="H75" s="12"/>
    </row>
  </sheetData>
  <sortState ref="A18:K27">
    <sortCondition ref="C18:C27"/>
  </sortState>
  <mergeCells count="5">
    <mergeCell ref="D1:L1"/>
    <mergeCell ref="D4:L4"/>
    <mergeCell ref="D33:K33"/>
    <mergeCell ref="D2:K2"/>
    <mergeCell ref="D34:K34"/>
  </mergeCells>
  <phoneticPr fontId="0" type="noConversion"/>
  <printOptions horizontalCentered="1"/>
  <pageMargins left="0.75" right="0.75" top="1" bottom="1" header="0.5" footer="0.64"/>
  <pageSetup scale="73" orientation="portrait" horizontalDpi="4294967293" r:id="rId1"/>
  <headerFooter alignWithMargins="0"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1"/>
  <sheetViews>
    <sheetView zoomScale="75" zoomScaleNormal="75" zoomScalePageLayoutView="75" workbookViewId="0">
      <selection activeCell="H23" sqref="H23"/>
    </sheetView>
  </sheetViews>
  <sheetFormatPr defaultColWidth="12.42578125" defaultRowHeight="18"/>
  <cols>
    <col min="1" max="3" width="10.7109375" style="94" customWidth="1"/>
    <col min="4" max="4" width="35.28515625" style="94" customWidth="1"/>
    <col min="5" max="6" width="14" style="94" customWidth="1"/>
    <col min="7" max="8" width="14" style="583" customWidth="1"/>
    <col min="9" max="9" width="2.42578125" style="594" customWidth="1"/>
    <col min="10" max="10" width="12.7109375" style="94" customWidth="1"/>
    <col min="11" max="11" width="12" style="94" customWidth="1"/>
    <col min="12" max="12" width="3.42578125" style="94" customWidth="1"/>
    <col min="13" max="16384" width="12.42578125" style="94"/>
  </cols>
  <sheetData>
    <row r="1" spans="1:15" ht="15.75">
      <c r="D1" s="1072" t="s">
        <v>0</v>
      </c>
      <c r="E1" s="1072"/>
      <c r="F1" s="1072"/>
      <c r="G1" s="1072"/>
      <c r="H1" s="1072"/>
      <c r="I1" s="1072"/>
      <c r="J1" s="1072"/>
      <c r="K1" s="1072"/>
      <c r="N1" s="1" t="s">
        <v>381</v>
      </c>
      <c r="O1" s="1" t="s">
        <v>382</v>
      </c>
    </row>
    <row r="2" spans="1:15" ht="15.75">
      <c r="D2" s="1073" t="str">
        <f>'GF-Parks'!D2:K2</f>
        <v>FISCAL YEAR 2022-2023</v>
      </c>
      <c r="E2" s="1073"/>
      <c r="F2" s="1073"/>
      <c r="G2" s="1073"/>
      <c r="H2" s="1073"/>
      <c r="I2" s="1073"/>
      <c r="J2" s="1073"/>
      <c r="K2" s="1073"/>
      <c r="N2" s="780" t="s">
        <v>568</v>
      </c>
      <c r="O2" s="780" t="s">
        <v>568</v>
      </c>
    </row>
    <row r="3" spans="1:15">
      <c r="G3" s="94"/>
      <c r="H3" s="94"/>
      <c r="I3" s="432"/>
    </row>
    <row r="4" spans="1:15" ht="15.75">
      <c r="D4" s="1070" t="s">
        <v>303</v>
      </c>
      <c r="E4" s="1070"/>
      <c r="F4" s="1070"/>
      <c r="G4" s="1070"/>
      <c r="H4" s="1070"/>
      <c r="I4" s="1070"/>
      <c r="J4" s="1070"/>
      <c r="K4" s="1070"/>
    </row>
    <row r="5" spans="1:15">
      <c r="G5" s="94"/>
      <c r="H5" s="94"/>
      <c r="I5" s="432"/>
    </row>
    <row r="6" spans="1:15" ht="18.75">
      <c r="D6" s="568"/>
      <c r="E6" s="569" t="s">
        <v>54</v>
      </c>
      <c r="F6" s="569" t="s">
        <v>54</v>
      </c>
      <c r="G6" s="545" t="s">
        <v>1</v>
      </c>
      <c r="H6" s="545" t="s">
        <v>2</v>
      </c>
      <c r="I6" s="570"/>
      <c r="J6" s="569" t="s">
        <v>376</v>
      </c>
      <c r="K6" s="545" t="s">
        <v>377</v>
      </c>
    </row>
    <row r="7" spans="1:15" ht="18.75">
      <c r="D7" s="568"/>
      <c r="E7" s="569"/>
      <c r="F7" s="569"/>
      <c r="G7" s="545" t="s">
        <v>3</v>
      </c>
      <c r="H7" s="545" t="s">
        <v>56</v>
      </c>
      <c r="I7" s="570"/>
      <c r="J7" s="569" t="s">
        <v>56</v>
      </c>
      <c r="K7" s="545" t="s">
        <v>56</v>
      </c>
    </row>
    <row r="8" spans="1:15" s="422" customFormat="1" ht="18.75">
      <c r="A8" s="806"/>
      <c r="B8" s="806"/>
      <c r="C8" s="806"/>
      <c r="D8" s="568"/>
      <c r="E8" s="549" t="s">
        <v>330</v>
      </c>
      <c r="F8" s="549" t="s">
        <v>366</v>
      </c>
      <c r="G8" s="549" t="s">
        <v>472</v>
      </c>
      <c r="H8" s="549" t="s">
        <v>473</v>
      </c>
      <c r="I8" s="571"/>
      <c r="J8" s="548" t="str">
        <f>H8</f>
        <v>2022-23</v>
      </c>
      <c r="K8" s="548" t="str">
        <f>J8</f>
        <v>2022-23</v>
      </c>
    </row>
    <row r="9" spans="1:15" ht="18.75">
      <c r="D9" s="561"/>
      <c r="E9" s="572"/>
      <c r="F9" s="572"/>
      <c r="G9" s="573"/>
      <c r="H9" s="573"/>
      <c r="I9" s="570"/>
      <c r="J9" s="572"/>
      <c r="K9" s="572"/>
    </row>
    <row r="10" spans="1:15" ht="18.75" hidden="1">
      <c r="D10" s="167" t="s">
        <v>227</v>
      </c>
      <c r="E10" s="431">
        <v>0</v>
      </c>
      <c r="F10" s="431">
        <v>0</v>
      </c>
      <c r="G10" s="431">
        <v>0</v>
      </c>
      <c r="H10" s="431">
        <v>0</v>
      </c>
      <c r="I10" s="574"/>
      <c r="J10" s="575"/>
      <c r="K10" s="575"/>
    </row>
    <row r="11" spans="1:15" s="422" customFormat="1" ht="15.75" hidden="1" customHeight="1">
      <c r="A11" s="806"/>
      <c r="B11" s="806"/>
      <c r="C11" s="806"/>
      <c r="D11" s="576" t="s">
        <v>200</v>
      </c>
      <c r="E11" s="577">
        <v>0</v>
      </c>
      <c r="F11" s="577">
        <v>0</v>
      </c>
      <c r="G11" s="577">
        <v>0</v>
      </c>
      <c r="H11" s="577">
        <v>0</v>
      </c>
      <c r="I11" s="578"/>
      <c r="J11" s="577"/>
      <c r="K11" s="577"/>
    </row>
    <row r="12" spans="1:15" s="422" customFormat="1" ht="18" hidden="1" customHeight="1" thickBot="1">
      <c r="A12" s="806"/>
      <c r="B12" s="806"/>
      <c r="C12" s="806"/>
      <c r="D12" s="576" t="s">
        <v>201</v>
      </c>
      <c r="E12" s="579">
        <v>0</v>
      </c>
      <c r="F12" s="579">
        <v>0</v>
      </c>
      <c r="G12" s="579">
        <v>0</v>
      </c>
      <c r="H12" s="579">
        <v>0</v>
      </c>
      <c r="I12" s="578"/>
      <c r="J12" s="579"/>
      <c r="K12" s="579"/>
    </row>
    <row r="13" spans="1:15" s="421" customFormat="1" ht="18" hidden="1" customHeight="1" thickTop="1">
      <c r="D13" s="580" t="s">
        <v>17</v>
      </c>
      <c r="E13" s="581">
        <v>0</v>
      </c>
      <c r="F13" s="581">
        <f>SUM(G4:G12)</f>
        <v>0</v>
      </c>
      <c r="G13" s="581">
        <f>SUM(G10:G12)</f>
        <v>0</v>
      </c>
      <c r="H13" s="581">
        <v>0</v>
      </c>
      <c r="I13" s="578"/>
      <c r="J13" s="581">
        <f>SUM(J4:J12)</f>
        <v>0</v>
      </c>
      <c r="K13" s="581">
        <v>0</v>
      </c>
    </row>
    <row r="14" spans="1:15" s="422" customFormat="1" ht="18" hidden="1" customHeight="1">
      <c r="A14" s="806"/>
      <c r="B14" s="806"/>
      <c r="C14" s="806"/>
      <c r="D14" s="576"/>
      <c r="E14" s="431"/>
      <c r="F14" s="431"/>
      <c r="G14" s="431"/>
      <c r="H14" s="806"/>
      <c r="I14" s="578"/>
      <c r="J14" s="431"/>
      <c r="K14" s="431"/>
    </row>
    <row r="15" spans="1:15" ht="18.75">
      <c r="D15" s="582" t="s">
        <v>405</v>
      </c>
      <c r="E15" s="431"/>
      <c r="F15" s="431"/>
      <c r="G15" s="431"/>
      <c r="H15" s="763"/>
      <c r="I15" s="584"/>
      <c r="J15" s="585"/>
      <c r="K15" s="585"/>
    </row>
    <row r="16" spans="1:15">
      <c r="A16" s="94">
        <v>100</v>
      </c>
      <c r="B16" s="94">
        <v>200</v>
      </c>
      <c r="C16" s="94">
        <v>50010</v>
      </c>
      <c r="D16" s="167" t="s">
        <v>220</v>
      </c>
      <c r="E16" s="430">
        <v>4829</v>
      </c>
      <c r="F16" s="736">
        <v>5934</v>
      </c>
      <c r="G16" s="811">
        <v>5820</v>
      </c>
      <c r="H16" s="763">
        <f>'Personnel by Fund'!I60</f>
        <v>5820</v>
      </c>
      <c r="I16" s="741">
        <v>1</v>
      </c>
      <c r="J16" s="802">
        <f>IF($N$2="Yes",H16,0)</f>
        <v>0</v>
      </c>
      <c r="K16" s="802">
        <f>IF($O$2="Yes",J16,0)</f>
        <v>0</v>
      </c>
      <c r="N16" s="6" t="s">
        <v>503</v>
      </c>
    </row>
    <row r="17" spans="1:14">
      <c r="A17" s="94">
        <v>100</v>
      </c>
      <c r="B17" s="94">
        <v>200</v>
      </c>
      <c r="C17" s="94">
        <v>51030</v>
      </c>
      <c r="D17" s="489" t="s">
        <v>198</v>
      </c>
      <c r="E17" s="430">
        <v>454</v>
      </c>
      <c r="F17" s="736">
        <v>317</v>
      </c>
      <c r="G17" s="769">
        <v>804.32400000000007</v>
      </c>
      <c r="H17" s="763">
        <f>'Personnel by Fund'!I61</f>
        <v>804.32400000000007</v>
      </c>
      <c r="I17" s="741"/>
      <c r="J17" s="814">
        <f t="shared" ref="J17:J19" si="0">IF($N$2="Yes",H17,0)</f>
        <v>0</v>
      </c>
      <c r="K17" s="814">
        <f t="shared" ref="K17:K19" si="1">IF($O$2="Yes",J17,0)</f>
        <v>0</v>
      </c>
      <c r="N17" s="6" t="s">
        <v>504</v>
      </c>
    </row>
    <row r="18" spans="1:14">
      <c r="A18" s="94">
        <v>100</v>
      </c>
      <c r="B18" s="94">
        <v>200</v>
      </c>
      <c r="C18" s="94">
        <v>51010</v>
      </c>
      <c r="D18" s="491" t="s">
        <v>260</v>
      </c>
      <c r="E18" s="430">
        <v>823</v>
      </c>
      <c r="F18" s="736">
        <v>1131</v>
      </c>
      <c r="G18" s="769">
        <v>1198.376</v>
      </c>
      <c r="H18" s="763">
        <f>'Personnel by Fund'!I62</f>
        <v>1198.376</v>
      </c>
      <c r="I18" s="741"/>
      <c r="J18" s="814">
        <f t="shared" si="0"/>
        <v>0</v>
      </c>
      <c r="K18" s="814">
        <f t="shared" si="1"/>
        <v>0</v>
      </c>
    </row>
    <row r="19" spans="1:14">
      <c r="A19" s="94">
        <v>100</v>
      </c>
      <c r="B19" s="94">
        <v>200</v>
      </c>
      <c r="C19" s="94">
        <v>51020</v>
      </c>
      <c r="D19" s="586" t="s">
        <v>276</v>
      </c>
      <c r="E19" s="587">
        <v>1214</v>
      </c>
      <c r="F19" s="742">
        <v>1189</v>
      </c>
      <c r="G19" s="770">
        <v>1580.7120000000002</v>
      </c>
      <c r="H19" s="1049">
        <f>'Personnel by Fund'!I63</f>
        <v>1580.7120000000002</v>
      </c>
      <c r="I19" s="741"/>
      <c r="J19" s="813">
        <f t="shared" si="0"/>
        <v>0</v>
      </c>
      <c r="K19" s="813">
        <f t="shared" si="1"/>
        <v>0</v>
      </c>
    </row>
    <row r="20" spans="1:14" ht="18.75">
      <c r="D20" s="588" t="s">
        <v>407</v>
      </c>
      <c r="E20" s="239">
        <f>SUM(E16:E19)</f>
        <v>7320</v>
      </c>
      <c r="F20" s="732">
        <f>SUM(F16:F19)</f>
        <v>8571</v>
      </c>
      <c r="G20" s="750">
        <f>SUM(G16:G19)</f>
        <v>9403.4120000000003</v>
      </c>
      <c r="H20" s="750">
        <f t="shared" ref="H20:K20" si="2">SUM(H16:H19)</f>
        <v>9403.4120000000003</v>
      </c>
      <c r="I20" s="741"/>
      <c r="J20" s="499">
        <f t="shared" si="2"/>
        <v>0</v>
      </c>
      <c r="K20" s="499">
        <f t="shared" si="2"/>
        <v>0</v>
      </c>
      <c r="N20" s="94" t="s">
        <v>5</v>
      </c>
    </row>
    <row r="21" spans="1:14">
      <c r="D21" s="167"/>
      <c r="E21" s="430"/>
      <c r="F21" s="736"/>
      <c r="G21" s="759"/>
      <c r="H21" s="740"/>
      <c r="I21" s="741"/>
      <c r="J21" s="814"/>
      <c r="K21" s="814"/>
    </row>
    <row r="22" spans="1:14" ht="18.75">
      <c r="D22" s="582" t="s">
        <v>48</v>
      </c>
      <c r="E22" s="589"/>
      <c r="F22" s="743"/>
      <c r="G22" s="764"/>
      <c r="H22" s="740"/>
      <c r="I22" s="741"/>
      <c r="J22" s="814"/>
      <c r="K22" s="814"/>
    </row>
    <row r="23" spans="1:14" s="422" customFormat="1" ht="18.75">
      <c r="A23" s="806">
        <v>100</v>
      </c>
      <c r="B23" s="806">
        <v>200</v>
      </c>
      <c r="C23" s="806">
        <v>52019</v>
      </c>
      <c r="D23" s="489" t="s">
        <v>177</v>
      </c>
      <c r="E23" s="764">
        <v>32455</v>
      </c>
      <c r="F23" s="764">
        <v>32454</v>
      </c>
      <c r="G23" s="764">
        <v>36000</v>
      </c>
      <c r="H23" s="1023">
        <v>36000</v>
      </c>
      <c r="I23" s="741">
        <v>2</v>
      </c>
      <c r="J23" s="805">
        <f>IF($N$2="Yes",H23,0)</f>
        <v>0</v>
      </c>
      <c r="K23" s="805">
        <f>IF($O$2="Yes",J23,0)</f>
        <v>0</v>
      </c>
    </row>
    <row r="24" spans="1:14" s="422" customFormat="1" ht="18.75" hidden="1">
      <c r="A24" s="806"/>
      <c r="B24" s="806"/>
      <c r="C24" s="806"/>
      <c r="D24" s="489" t="s">
        <v>36</v>
      </c>
      <c r="E24" s="589">
        <v>0</v>
      </c>
      <c r="F24" s="743">
        <v>0</v>
      </c>
      <c r="G24" s="764">
        <v>0</v>
      </c>
      <c r="H24" s="764">
        <v>0</v>
      </c>
      <c r="I24" s="741"/>
      <c r="J24" s="914"/>
      <c r="K24" s="805">
        <f t="shared" ref="K24:K26" si="3">IF($O$2="Yes",J24,0)</f>
        <v>0</v>
      </c>
    </row>
    <row r="25" spans="1:14" s="422" customFormat="1" ht="18.75" hidden="1">
      <c r="A25" s="806"/>
      <c r="B25" s="806"/>
      <c r="C25" s="806"/>
      <c r="D25" s="489" t="s">
        <v>138</v>
      </c>
      <c r="E25" s="589">
        <v>0</v>
      </c>
      <c r="F25" s="743">
        <v>0</v>
      </c>
      <c r="G25" s="764">
        <v>0</v>
      </c>
      <c r="H25" s="764">
        <v>0</v>
      </c>
      <c r="I25" s="741"/>
      <c r="J25" s="914"/>
      <c r="K25" s="805">
        <f t="shared" si="3"/>
        <v>0</v>
      </c>
    </row>
    <row r="26" spans="1:14" s="422" customFormat="1" ht="18.75" hidden="1">
      <c r="A26" s="806"/>
      <c r="B26" s="806"/>
      <c r="C26" s="806"/>
      <c r="D26" s="489" t="s">
        <v>152</v>
      </c>
      <c r="E26" s="589">
        <v>0</v>
      </c>
      <c r="F26" s="743">
        <v>0</v>
      </c>
      <c r="G26" s="764">
        <v>0</v>
      </c>
      <c r="H26" s="764">
        <v>0</v>
      </c>
      <c r="I26" s="741"/>
      <c r="J26" s="914"/>
      <c r="K26" s="805">
        <f t="shared" si="3"/>
        <v>0</v>
      </c>
    </row>
    <row r="27" spans="1:14" s="422" customFormat="1" ht="18.75" hidden="1">
      <c r="A27" s="806"/>
      <c r="B27" s="806"/>
      <c r="C27" s="806"/>
      <c r="D27" s="489" t="s">
        <v>307</v>
      </c>
      <c r="E27" s="589">
        <v>0</v>
      </c>
      <c r="F27" s="743">
        <v>0</v>
      </c>
      <c r="G27" s="764">
        <v>0</v>
      </c>
      <c r="H27" s="764">
        <v>0</v>
      </c>
      <c r="I27" s="741"/>
      <c r="J27" s="914"/>
      <c r="K27" s="805"/>
    </row>
    <row r="28" spans="1:14" s="422" customFormat="1" ht="15.75">
      <c r="A28" s="806"/>
      <c r="B28" s="806"/>
      <c r="C28" s="806"/>
      <c r="D28" s="489" t="s">
        <v>62</v>
      </c>
      <c r="E28" s="765">
        <v>0</v>
      </c>
      <c r="F28" s="765">
        <v>6</v>
      </c>
      <c r="G28" s="765">
        <v>0</v>
      </c>
      <c r="H28" s="765">
        <v>0</v>
      </c>
      <c r="I28" s="745"/>
      <c r="J28" s="818">
        <f>IF($N$2="Yes",H28,0)</f>
        <v>0</v>
      </c>
      <c r="K28" s="818">
        <f>IF($O$2="Yes",J28,0)</f>
        <v>0</v>
      </c>
    </row>
    <row r="29" spans="1:14" s="422" customFormat="1" ht="18.75" hidden="1">
      <c r="A29" s="806"/>
      <c r="B29" s="806"/>
      <c r="C29" s="806"/>
      <c r="D29" s="489" t="s">
        <v>23</v>
      </c>
      <c r="E29" s="589">
        <v>0</v>
      </c>
      <c r="F29" s="743">
        <v>0</v>
      </c>
      <c r="G29" s="764">
        <v>0</v>
      </c>
      <c r="H29" s="764">
        <v>0</v>
      </c>
      <c r="I29" s="741"/>
      <c r="J29" s="914"/>
      <c r="K29" s="805"/>
    </row>
    <row r="30" spans="1:14" s="551" customFormat="1" hidden="1">
      <c r="D30" s="167" t="s">
        <v>139</v>
      </c>
      <c r="E30" s="589">
        <v>0</v>
      </c>
      <c r="F30" s="743">
        <v>0</v>
      </c>
      <c r="G30" s="764">
        <v>0</v>
      </c>
      <c r="H30" s="764">
        <v>0</v>
      </c>
      <c r="I30" s="746"/>
      <c r="J30" s="914"/>
      <c r="K30" s="814"/>
      <c r="L30" s="561"/>
      <c r="M30" s="561"/>
    </row>
    <row r="31" spans="1:14" s="422" customFormat="1" ht="18.75" hidden="1">
      <c r="A31" s="806"/>
      <c r="B31" s="806"/>
      <c r="C31" s="806"/>
      <c r="D31" s="489" t="s">
        <v>37</v>
      </c>
      <c r="E31" s="589">
        <v>0</v>
      </c>
      <c r="F31" s="743">
        <v>0</v>
      </c>
      <c r="G31" s="764">
        <v>0</v>
      </c>
      <c r="H31" s="764">
        <v>0</v>
      </c>
      <c r="I31" s="741"/>
      <c r="J31" s="914"/>
      <c r="K31" s="805"/>
    </row>
    <row r="32" spans="1:14" s="422" customFormat="1" ht="18.75" hidden="1">
      <c r="A32" s="806"/>
      <c r="B32" s="806"/>
      <c r="C32" s="806"/>
      <c r="D32" s="489" t="s">
        <v>38</v>
      </c>
      <c r="E32" s="589">
        <v>0</v>
      </c>
      <c r="F32" s="743">
        <v>0</v>
      </c>
      <c r="G32" s="764">
        <v>0</v>
      </c>
      <c r="H32" s="764">
        <v>0</v>
      </c>
      <c r="I32" s="741"/>
      <c r="J32" s="914"/>
      <c r="K32" s="805"/>
    </row>
    <row r="33" spans="1:14" s="422" customFormat="1" ht="18.75" hidden="1">
      <c r="A33" s="806"/>
      <c r="B33" s="806"/>
      <c r="C33" s="806"/>
      <c r="D33" s="489" t="s">
        <v>39</v>
      </c>
      <c r="E33" s="589">
        <v>0</v>
      </c>
      <c r="F33" s="743">
        <v>0</v>
      </c>
      <c r="G33" s="764">
        <v>0</v>
      </c>
      <c r="H33" s="764">
        <v>0</v>
      </c>
      <c r="I33" s="741"/>
      <c r="J33" s="914"/>
      <c r="K33" s="805"/>
      <c r="L33" s="422" t="s">
        <v>5</v>
      </c>
    </row>
    <row r="34" spans="1:14" s="422" customFormat="1" ht="18.75" hidden="1">
      <c r="A34" s="806"/>
      <c r="B34" s="806"/>
      <c r="C34" s="806"/>
      <c r="D34" s="489" t="s">
        <v>41</v>
      </c>
      <c r="E34" s="589">
        <v>0</v>
      </c>
      <c r="F34" s="743">
        <v>0</v>
      </c>
      <c r="G34" s="764">
        <v>0</v>
      </c>
      <c r="H34" s="764">
        <v>0</v>
      </c>
      <c r="I34" s="741"/>
      <c r="J34" s="914"/>
      <c r="K34" s="805"/>
      <c r="N34" s="422" t="s">
        <v>5</v>
      </c>
    </row>
    <row r="35" spans="1:14" s="422" customFormat="1" ht="18.75" hidden="1">
      <c r="A35" s="806"/>
      <c r="B35" s="806"/>
      <c r="C35" s="806"/>
      <c r="D35" s="489" t="s">
        <v>40</v>
      </c>
      <c r="E35" s="589">
        <v>0</v>
      </c>
      <c r="F35" s="743">
        <v>0</v>
      </c>
      <c r="G35" s="764">
        <v>0</v>
      </c>
      <c r="H35" s="764">
        <v>0</v>
      </c>
      <c r="I35" s="741"/>
      <c r="J35" s="914"/>
      <c r="K35" s="805"/>
    </row>
    <row r="36" spans="1:14" s="422" customFormat="1" ht="18.75" hidden="1">
      <c r="A36" s="806"/>
      <c r="B36" s="806"/>
      <c r="C36" s="806"/>
      <c r="D36" s="489" t="s">
        <v>154</v>
      </c>
      <c r="E36" s="589">
        <v>0</v>
      </c>
      <c r="F36" s="743">
        <v>0</v>
      </c>
      <c r="G36" s="764">
        <v>0</v>
      </c>
      <c r="H36" s="764">
        <v>0</v>
      </c>
      <c r="I36" s="741"/>
      <c r="J36" s="914"/>
      <c r="K36" s="805"/>
    </row>
    <row r="37" spans="1:14" s="422" customFormat="1" ht="18.75" hidden="1">
      <c r="A37" s="806"/>
      <c r="B37" s="806"/>
      <c r="C37" s="806"/>
      <c r="D37" s="489" t="s">
        <v>155</v>
      </c>
      <c r="E37" s="589">
        <v>0</v>
      </c>
      <c r="F37" s="743">
        <v>0</v>
      </c>
      <c r="G37" s="764">
        <v>0</v>
      </c>
      <c r="H37" s="764">
        <v>0</v>
      </c>
      <c r="I37" s="741"/>
      <c r="J37" s="914"/>
      <c r="K37" s="805"/>
    </row>
    <row r="38" spans="1:14" ht="18.75" hidden="1">
      <c r="D38" s="489" t="s">
        <v>153</v>
      </c>
      <c r="E38" s="590">
        <v>0</v>
      </c>
      <c r="F38" s="744">
        <v>0</v>
      </c>
      <c r="G38" s="765">
        <v>0</v>
      </c>
      <c r="H38" s="765">
        <v>0</v>
      </c>
      <c r="I38" s="741"/>
      <c r="J38" s="650"/>
      <c r="K38" s="818"/>
    </row>
    <row r="39" spans="1:14" ht="18.75">
      <c r="D39" s="582" t="s">
        <v>68</v>
      </c>
      <c r="E39" s="342">
        <f>SUM(E23:E38)</f>
        <v>32455</v>
      </c>
      <c r="F39" s="734">
        <f>SUM(F23:F38)</f>
        <v>32460</v>
      </c>
      <c r="G39" s="751">
        <f>SUM(G23:G38)</f>
        <v>36000</v>
      </c>
      <c r="H39" s="751">
        <f>SUM(H23:H38)</f>
        <v>36000</v>
      </c>
      <c r="I39" s="741"/>
      <c r="J39" s="805">
        <f>SUM(J23:J38)</f>
        <v>0</v>
      </c>
      <c r="K39" s="805">
        <f>SUM(K23:K38)</f>
        <v>0</v>
      </c>
    </row>
    <row r="40" spans="1:14">
      <c r="D40" s="167"/>
      <c r="E40" s="430"/>
      <c r="F40" s="736"/>
      <c r="G40" s="759"/>
      <c r="H40" s="763"/>
      <c r="I40" s="741"/>
      <c r="J40" s="814"/>
      <c r="K40" s="814"/>
    </row>
    <row r="41" spans="1:14" ht="18.75" hidden="1">
      <c r="D41" s="582" t="s">
        <v>134</v>
      </c>
      <c r="E41" s="430"/>
      <c r="F41" s="736"/>
      <c r="G41" s="759"/>
      <c r="H41" s="763"/>
      <c r="I41" s="741"/>
      <c r="J41" s="814"/>
      <c r="K41" s="814"/>
    </row>
    <row r="42" spans="1:14" hidden="1">
      <c r="D42" s="167" t="s">
        <v>135</v>
      </c>
      <c r="E42" s="590">
        <v>0</v>
      </c>
      <c r="F42" s="744">
        <v>0</v>
      </c>
      <c r="G42" s="765">
        <v>0</v>
      </c>
      <c r="H42" s="765">
        <v>0</v>
      </c>
      <c r="I42" s="741"/>
      <c r="J42" s="816">
        <f t="shared" ref="J42:J44" si="4">IF($N$2="Yes",H42,0)</f>
        <v>0</v>
      </c>
      <c r="K42" s="816">
        <f t="shared" ref="K42:K44" si="5">IF($O$2="Yes",J42,0)</f>
        <v>0</v>
      </c>
    </row>
    <row r="43" spans="1:14" hidden="1">
      <c r="D43" s="167" t="s">
        <v>156</v>
      </c>
      <c r="E43" s="589">
        <v>0</v>
      </c>
      <c r="F43" s="743">
        <v>0</v>
      </c>
      <c r="G43" s="764">
        <v>0</v>
      </c>
      <c r="H43" s="764">
        <v>0</v>
      </c>
      <c r="I43" s="741"/>
      <c r="J43" s="814">
        <f t="shared" si="4"/>
        <v>0</v>
      </c>
      <c r="K43" s="814">
        <f t="shared" si="5"/>
        <v>0</v>
      </c>
    </row>
    <row r="44" spans="1:14" hidden="1">
      <c r="D44" s="167" t="s">
        <v>157</v>
      </c>
      <c r="E44" s="590">
        <v>0</v>
      </c>
      <c r="F44" s="744">
        <v>0</v>
      </c>
      <c r="G44" s="765">
        <v>0</v>
      </c>
      <c r="H44" s="765">
        <v>0</v>
      </c>
      <c r="I44" s="741"/>
      <c r="J44" s="816">
        <f t="shared" si="4"/>
        <v>0</v>
      </c>
      <c r="K44" s="816">
        <f t="shared" si="5"/>
        <v>0</v>
      </c>
    </row>
    <row r="45" spans="1:14" ht="18.75" hidden="1">
      <c r="D45" s="582" t="s">
        <v>25</v>
      </c>
      <c r="E45" s="342">
        <f t="shared" ref="E45" si="6">SUM(E41:E44)</f>
        <v>0</v>
      </c>
      <c r="F45" s="734">
        <f t="shared" ref="F45:G45" si="7">SUM(F41:F44)</f>
        <v>0</v>
      </c>
      <c r="G45" s="751">
        <f t="shared" si="7"/>
        <v>0</v>
      </c>
      <c r="H45" s="751">
        <f>SUM(H41:H44)</f>
        <v>0</v>
      </c>
      <c r="I45" s="741"/>
      <c r="J45" s="805">
        <f t="shared" ref="J45:K45" si="8">SUM(J41:J44)</f>
        <v>0</v>
      </c>
      <c r="K45" s="805">
        <f t="shared" si="8"/>
        <v>0</v>
      </c>
    </row>
    <row r="46" spans="1:14" ht="18.75" hidden="1">
      <c r="D46" s="582"/>
      <c r="E46" s="342"/>
      <c r="F46" s="734"/>
      <c r="G46" s="751"/>
      <c r="H46" s="763"/>
      <c r="I46" s="741"/>
      <c r="J46" s="805"/>
      <c r="K46" s="805"/>
    </row>
    <row r="47" spans="1:14" s="422" customFormat="1" ht="15.75" hidden="1">
      <c r="A47" s="806"/>
      <c r="B47" s="806"/>
      <c r="C47" s="806"/>
      <c r="D47" s="429" t="s">
        <v>334</v>
      </c>
      <c r="E47" s="430"/>
      <c r="F47" s="736"/>
      <c r="G47" s="759"/>
      <c r="H47" s="757"/>
      <c r="I47" s="737"/>
      <c r="J47" s="914"/>
      <c r="K47" s="914"/>
    </row>
    <row r="48" spans="1:14" s="422" customFormat="1" hidden="1">
      <c r="A48" s="806"/>
      <c r="B48" s="806"/>
      <c r="C48" s="806"/>
      <c r="D48" s="489" t="s">
        <v>173</v>
      </c>
      <c r="E48" s="589">
        <v>0</v>
      </c>
      <c r="F48" s="743">
        <v>0</v>
      </c>
      <c r="G48" s="764">
        <v>0</v>
      </c>
      <c r="H48" s="764">
        <v>0</v>
      </c>
      <c r="I48" s="739"/>
      <c r="J48" s="914">
        <f t="shared" ref="J48:J50" si="9">IF($N$2="Yes",H48,0)</f>
        <v>0</v>
      </c>
      <c r="K48" s="914">
        <f>IF($O$2="Yes",J48,0)</f>
        <v>0</v>
      </c>
    </row>
    <row r="49" spans="1:12" s="422" customFormat="1" hidden="1">
      <c r="A49" s="806"/>
      <c r="B49" s="806"/>
      <c r="C49" s="806"/>
      <c r="D49" s="489" t="s">
        <v>156</v>
      </c>
      <c r="E49" s="589">
        <v>0</v>
      </c>
      <c r="F49" s="743">
        <v>0</v>
      </c>
      <c r="G49" s="764">
        <v>0</v>
      </c>
      <c r="H49" s="764">
        <v>0</v>
      </c>
      <c r="I49" s="739"/>
      <c r="J49" s="914">
        <f t="shared" si="9"/>
        <v>0</v>
      </c>
      <c r="K49" s="914">
        <f t="shared" ref="K49:K50" si="10">IF($O$2="Yes",J49,0)</f>
        <v>0</v>
      </c>
    </row>
    <row r="50" spans="1:12" s="422" customFormat="1" ht="18" hidden="1" customHeight="1">
      <c r="A50" s="806"/>
      <c r="B50" s="806"/>
      <c r="C50" s="806"/>
      <c r="D50" s="489" t="s">
        <v>157</v>
      </c>
      <c r="E50" s="590">
        <v>0</v>
      </c>
      <c r="F50" s="744">
        <v>0</v>
      </c>
      <c r="G50" s="766">
        <v>0</v>
      </c>
      <c r="H50" s="766">
        <v>0</v>
      </c>
      <c r="I50" s="741"/>
      <c r="J50" s="539">
        <f t="shared" si="9"/>
        <v>0</v>
      </c>
      <c r="K50" s="539">
        <f t="shared" si="10"/>
        <v>0</v>
      </c>
      <c r="L50" s="422">
        <v>3</v>
      </c>
    </row>
    <row r="51" spans="1:12" s="422" customFormat="1" ht="15.75" hidden="1">
      <c r="A51" s="806"/>
      <c r="B51" s="806"/>
      <c r="C51" s="806"/>
      <c r="D51" s="429" t="s">
        <v>422</v>
      </c>
      <c r="E51" s="239">
        <f>SUM(E48:E50)</f>
        <v>0</v>
      </c>
      <c r="F51" s="732">
        <f>SUM(F48:F50)</f>
        <v>0</v>
      </c>
      <c r="G51" s="750">
        <f>SUM(G48:G50)</f>
        <v>0</v>
      </c>
      <c r="H51" s="750">
        <f>SUM(H48:H50)</f>
        <v>0</v>
      </c>
      <c r="I51" s="733"/>
      <c r="J51" s="499">
        <f>SUM(J48:J50)</f>
        <v>0</v>
      </c>
      <c r="K51" s="499">
        <f>SUM(K48:K50)</f>
        <v>0</v>
      </c>
    </row>
    <row r="52" spans="1:12" ht="18.75" hidden="1">
      <c r="D52" s="167"/>
      <c r="E52" s="239"/>
      <c r="F52" s="732"/>
      <c r="G52" s="750"/>
      <c r="H52" s="763"/>
      <c r="I52" s="741"/>
      <c r="J52" s="805" t="s">
        <v>5</v>
      </c>
      <c r="K52" s="805" t="s">
        <v>5</v>
      </c>
    </row>
    <row r="53" spans="1:12" ht="18.75">
      <c r="D53" s="582" t="s">
        <v>28</v>
      </c>
      <c r="E53" s="342">
        <f>SUM(E20+E39+E45+E51)</f>
        <v>39775</v>
      </c>
      <c r="F53" s="734">
        <f>SUM(F20+F39+F45+F51)</f>
        <v>41031</v>
      </c>
      <c r="G53" s="751">
        <f>SUM(G20+G39+G45+G51)</f>
        <v>45403.411999999997</v>
      </c>
      <c r="H53" s="751">
        <f>SUM(H20+H39+H45+H51)</f>
        <v>45403.411999999997</v>
      </c>
      <c r="I53" s="741"/>
      <c r="J53" s="805">
        <f>SUM(J20+J39+J45+J51)</f>
        <v>0</v>
      </c>
      <c r="K53" s="914">
        <f>IF($O$2="Yes",J53,0)</f>
        <v>0</v>
      </c>
    </row>
    <row r="54" spans="1:12" ht="18" customHeight="1">
      <c r="D54" s="167"/>
      <c r="E54" s="167"/>
      <c r="F54" s="731"/>
      <c r="G54" s="767"/>
      <c r="H54" s="767"/>
      <c r="I54" s="741"/>
      <c r="J54" s="814"/>
      <c r="K54" s="814"/>
    </row>
    <row r="55" spans="1:12" ht="18" customHeight="1">
      <c r="D55" s="167" t="s">
        <v>433</v>
      </c>
      <c r="E55" s="560">
        <f t="shared" ref="E55" si="11">E45</f>
        <v>0</v>
      </c>
      <c r="F55" s="738">
        <f t="shared" ref="F55:H55" si="12">F45</f>
        <v>0</v>
      </c>
      <c r="G55" s="762">
        <f t="shared" si="12"/>
        <v>0</v>
      </c>
      <c r="H55" s="762">
        <f t="shared" si="12"/>
        <v>0</v>
      </c>
      <c r="I55" s="741"/>
      <c r="J55" s="813">
        <f t="shared" ref="J55:K55" si="13">J45</f>
        <v>0</v>
      </c>
      <c r="K55" s="813">
        <f t="shared" si="13"/>
        <v>0</v>
      </c>
    </row>
    <row r="56" spans="1:12" s="25" customFormat="1" ht="18.75">
      <c r="D56" s="20" t="s">
        <v>434</v>
      </c>
      <c r="E56" s="653">
        <f t="shared" ref="E56" si="14">E53-E55</f>
        <v>39775</v>
      </c>
      <c r="F56" s="730">
        <f t="shared" ref="F56:H56" si="15">F53-F55</f>
        <v>41031</v>
      </c>
      <c r="G56" s="748">
        <f t="shared" si="15"/>
        <v>45403.411999999997</v>
      </c>
      <c r="H56" s="748">
        <f t="shared" si="15"/>
        <v>45403.411999999997</v>
      </c>
      <c r="I56" s="723"/>
      <c r="J56" s="784">
        <f t="shared" ref="J56:K56" si="16">J53-J55</f>
        <v>0</v>
      </c>
      <c r="K56" s="784">
        <f t="shared" si="16"/>
        <v>0</v>
      </c>
    </row>
    <row r="57" spans="1:12" ht="18" customHeight="1">
      <c r="D57" s="167"/>
      <c r="E57" s="167"/>
      <c r="F57" s="731"/>
      <c r="G57" s="767"/>
      <c r="H57" s="591"/>
      <c r="I57" s="584"/>
      <c r="J57" s="592"/>
      <c r="K57" s="592"/>
    </row>
    <row r="58" spans="1:12" ht="15" customHeight="1">
      <c r="D58" s="1071" t="s">
        <v>309</v>
      </c>
      <c r="E58" s="1071"/>
      <c r="F58" s="1071"/>
      <c r="G58" s="1071"/>
      <c r="H58" s="1071"/>
      <c r="I58" s="1071"/>
      <c r="J58" s="1071"/>
      <c r="K58" s="1071"/>
    </row>
    <row r="59" spans="1:12" ht="15" customHeight="1">
      <c r="D59" s="1074" t="s">
        <v>313</v>
      </c>
      <c r="E59" s="1074"/>
      <c r="F59" s="1074"/>
      <c r="G59" s="1074"/>
      <c r="H59" s="1074"/>
      <c r="I59" s="1074"/>
      <c r="J59" s="1074"/>
      <c r="K59" s="1074"/>
    </row>
    <row r="60" spans="1:12" ht="15" customHeight="1">
      <c r="D60" s="768"/>
      <c r="E60" s="561"/>
      <c r="F60" s="561"/>
      <c r="G60" s="593"/>
      <c r="H60" s="593"/>
    </row>
    <row r="61" spans="1:12">
      <c r="D61" s="595"/>
      <c r="E61" s="561">
        <f>E56-'Combined GF Revenues'!E50</f>
        <v>0</v>
      </c>
      <c r="F61" s="561">
        <f>'Combined GF Revenues'!F50-'GF-Public Safety'!F56</f>
        <v>0</v>
      </c>
      <c r="G61" s="561">
        <f>'Combined GF Revenues'!G50-'GF-Public Safety'!G56</f>
        <v>0</v>
      </c>
      <c r="H61" s="561">
        <f>'Combined GF Revenues'!H50-'GF-Public Safety'!H56</f>
        <v>0</v>
      </c>
      <c r="J61" s="561">
        <f>'Combined GF Revenues'!J50-'GF-Public Safety'!J56</f>
        <v>0</v>
      </c>
      <c r="K61" s="561">
        <f>'Combined GF Revenues'!K50-'GF-Public Safety'!K56</f>
        <v>0</v>
      </c>
    </row>
    <row r="62" spans="1:12">
      <c r="D62" s="561"/>
      <c r="E62" s="561"/>
      <c r="F62" s="561"/>
      <c r="G62" s="593"/>
      <c r="H62" s="593"/>
    </row>
    <row r="63" spans="1:12">
      <c r="D63" s="561"/>
      <c r="E63" s="561"/>
      <c r="F63" s="561"/>
      <c r="G63" s="593"/>
      <c r="H63" s="593"/>
    </row>
    <row r="64" spans="1:12">
      <c r="D64" s="561"/>
      <c r="E64" s="561"/>
      <c r="F64" s="561"/>
      <c r="G64" s="593"/>
      <c r="H64" s="593"/>
    </row>
    <row r="65" spans="4:8">
      <c r="D65" s="561"/>
      <c r="E65" s="561"/>
      <c r="F65" s="561"/>
      <c r="G65" s="593"/>
      <c r="H65" s="593"/>
    </row>
    <row r="69" spans="4:8">
      <c r="D69" s="561"/>
      <c r="E69" s="596"/>
      <c r="F69" s="596"/>
    </row>
    <row r="70" spans="4:8">
      <c r="D70" s="561"/>
      <c r="E70" s="596"/>
      <c r="F70" s="596"/>
    </row>
    <row r="71" spans="4:8">
      <c r="D71" s="561"/>
      <c r="E71" s="596"/>
      <c r="F71" s="596"/>
    </row>
  </sheetData>
  <mergeCells count="5">
    <mergeCell ref="D4:K4"/>
    <mergeCell ref="D58:K58"/>
    <mergeCell ref="D1:K1"/>
    <mergeCell ref="D2:K2"/>
    <mergeCell ref="D59:K59"/>
  </mergeCells>
  <phoneticPr fontId="0" type="noConversion"/>
  <printOptions horizontalCentered="1"/>
  <pageMargins left="0.7" right="0.7" top="0.75" bottom="0.75" header="0.3" footer="0.3"/>
  <pageSetup scale="78" orientation="portrait" horizontalDpi="4294967293" verticalDpi="300" r:id="rId1"/>
  <headerFooter>
    <oddHeader>&amp;C&amp;A</oddHead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9"/>
  <sheetViews>
    <sheetView topLeftCell="A23" zoomScale="75" zoomScaleNormal="75" zoomScalePageLayoutView="75" workbookViewId="0">
      <selection activeCell="G61" sqref="G61"/>
    </sheetView>
  </sheetViews>
  <sheetFormatPr defaultColWidth="11.28515625" defaultRowHeight="18"/>
  <cols>
    <col min="1" max="3" width="11.28515625" style="93"/>
    <col min="4" max="4" width="39.28515625" style="93" customWidth="1"/>
    <col min="5" max="7" width="14" style="93" customWidth="1"/>
    <col min="8" max="8" width="14" style="94" customWidth="1"/>
    <col min="9" max="9" width="2.7109375" style="24" customWidth="1"/>
    <col min="10" max="10" width="14" style="93" customWidth="1"/>
    <col min="11" max="11" width="17" style="93" customWidth="1"/>
    <col min="12" max="16384" width="11.28515625" style="93"/>
  </cols>
  <sheetData>
    <row r="1" spans="1:15" ht="15.75">
      <c r="D1" s="1075" t="s">
        <v>0</v>
      </c>
      <c r="E1" s="1075"/>
      <c r="F1" s="1075"/>
      <c r="G1" s="1075"/>
      <c r="H1" s="1075"/>
      <c r="I1" s="1075"/>
      <c r="J1" s="1075"/>
      <c r="K1" s="1075"/>
      <c r="N1" s="1" t="s">
        <v>381</v>
      </c>
      <c r="O1" s="1" t="s">
        <v>382</v>
      </c>
    </row>
    <row r="2" spans="1:15" ht="15.75">
      <c r="D2" s="1061" t="str">
        <f>'GF-Admin &amp; Plng'!D2:K2</f>
        <v>FISCAL YEAR 2022-2023</v>
      </c>
      <c r="E2" s="1061"/>
      <c r="F2" s="1061"/>
      <c r="G2" s="1061"/>
      <c r="H2" s="1061"/>
      <c r="I2" s="1061"/>
      <c r="J2" s="1061"/>
      <c r="K2" s="1061"/>
      <c r="N2" s="778" t="s">
        <v>541</v>
      </c>
      <c r="O2" s="780" t="s">
        <v>541</v>
      </c>
    </row>
    <row r="4" spans="1:15" ht="15.75">
      <c r="D4" s="1070" t="s">
        <v>302</v>
      </c>
      <c r="E4" s="1070"/>
      <c r="F4" s="1070"/>
      <c r="G4" s="1070"/>
      <c r="H4" s="1070"/>
      <c r="I4" s="1070"/>
      <c r="J4" s="1070"/>
      <c r="K4" s="1070"/>
    </row>
    <row r="6" spans="1:15" ht="18.75">
      <c r="D6" s="543"/>
      <c r="E6" s="544" t="s">
        <v>54</v>
      </c>
      <c r="F6" s="544" t="s">
        <v>54</v>
      </c>
      <c r="G6" s="545" t="s">
        <v>1</v>
      </c>
      <c r="H6" s="545" t="s">
        <v>2</v>
      </c>
      <c r="I6" s="546"/>
      <c r="J6" s="544" t="s">
        <v>376</v>
      </c>
      <c r="K6" s="547" t="s">
        <v>377</v>
      </c>
    </row>
    <row r="7" spans="1:15" ht="18.75">
      <c r="D7" s="543"/>
      <c r="E7" s="544"/>
      <c r="F7" s="544"/>
      <c r="G7" s="545" t="s">
        <v>3</v>
      </c>
      <c r="H7" s="545" t="s">
        <v>56</v>
      </c>
      <c r="I7" s="546"/>
      <c r="J7" s="544" t="s">
        <v>56</v>
      </c>
      <c r="K7" s="547" t="s">
        <v>56</v>
      </c>
    </row>
    <row r="8" spans="1:15" s="1" customFormat="1" ht="18.75">
      <c r="A8" s="778"/>
      <c r="B8" s="778"/>
      <c r="C8" s="778"/>
      <c r="D8" s="543"/>
      <c r="E8" s="549" t="s">
        <v>330</v>
      </c>
      <c r="F8" s="549" t="s">
        <v>366</v>
      </c>
      <c r="G8" s="1021" t="s">
        <v>472</v>
      </c>
      <c r="H8" s="1021" t="s">
        <v>473</v>
      </c>
      <c r="I8" s="550"/>
      <c r="J8" s="548" t="str">
        <f>H8</f>
        <v>2022-23</v>
      </c>
      <c r="K8" s="548" t="str">
        <f>J8</f>
        <v>2022-23</v>
      </c>
    </row>
    <row r="9" spans="1:15">
      <c r="D9" s="542" t="s">
        <v>5</v>
      </c>
      <c r="E9" s="561"/>
      <c r="F9" s="561"/>
      <c r="G9" s="1009"/>
      <c r="H9" s="1009"/>
    </row>
    <row r="10" spans="1:15" ht="18.75">
      <c r="D10" s="20" t="s">
        <v>405</v>
      </c>
      <c r="G10" s="1009"/>
      <c r="H10" s="1015"/>
    </row>
    <row r="11" spans="1:15">
      <c r="A11" s="6" t="s">
        <v>561</v>
      </c>
      <c r="D11" s="542" t="s">
        <v>220</v>
      </c>
      <c r="E11" s="802">
        <v>6647</v>
      </c>
      <c r="F11" s="752">
        <v>12623</v>
      </c>
      <c r="G11" s="1017">
        <v>28403.292372598502</v>
      </c>
      <c r="H11" s="1015">
        <f>'Personnel by Fund'!H60</f>
        <v>32663.672506959374</v>
      </c>
      <c r="I11" s="755"/>
      <c r="J11" s="761">
        <f>IF($N$2="Yes",H11,0)</f>
        <v>32663.672506959374</v>
      </c>
      <c r="K11" s="752">
        <f>IF($O$2="Yes",J11,0)</f>
        <v>32663.672506959374</v>
      </c>
      <c r="M11" s="6" t="s">
        <v>503</v>
      </c>
    </row>
    <row r="12" spans="1:15">
      <c r="A12" s="93">
        <v>100</v>
      </c>
      <c r="B12" s="93">
        <v>300</v>
      </c>
      <c r="C12" s="93">
        <v>51030</v>
      </c>
      <c r="D12" s="542" t="s">
        <v>198</v>
      </c>
      <c r="E12" s="802">
        <v>625</v>
      </c>
      <c r="F12" s="752">
        <v>2342</v>
      </c>
      <c r="G12" s="1015">
        <v>1934.8976573854202</v>
      </c>
      <c r="H12" s="1015">
        <f>'Personnel by Fund'!H61</f>
        <v>2225.1079652617855</v>
      </c>
      <c r="I12" s="755"/>
      <c r="J12" s="752">
        <f t="shared" ref="J12:J14" si="0">IF($N$2="Yes",H12,0)</f>
        <v>2225.1079652617855</v>
      </c>
      <c r="K12" s="802">
        <f t="shared" ref="K12:K14" si="1">IF($O$2="Yes",J12,0)</f>
        <v>2225.1079652617855</v>
      </c>
      <c r="M12" s="6" t="s">
        <v>504</v>
      </c>
    </row>
    <row r="13" spans="1:15">
      <c r="A13" s="93">
        <v>100</v>
      </c>
      <c r="B13" s="93">
        <v>300</v>
      </c>
      <c r="C13" s="93">
        <v>51010</v>
      </c>
      <c r="D13" s="558" t="s">
        <v>260</v>
      </c>
      <c r="E13" s="802">
        <v>42</v>
      </c>
      <c r="F13" s="752">
        <v>5865</v>
      </c>
      <c r="G13" s="1015">
        <v>7135.8</v>
      </c>
      <c r="H13" s="1015">
        <f>'Personnel by Fund'!H62</f>
        <v>7135.8</v>
      </c>
      <c r="I13" s="755"/>
      <c r="J13" s="752">
        <f t="shared" si="0"/>
        <v>7135.8</v>
      </c>
      <c r="K13" s="802">
        <f t="shared" si="1"/>
        <v>7135.8</v>
      </c>
    </row>
    <row r="14" spans="1:15">
      <c r="A14" s="93">
        <v>100</v>
      </c>
      <c r="B14" s="93">
        <v>300</v>
      </c>
      <c r="C14" s="93">
        <v>51020</v>
      </c>
      <c r="D14" s="31" t="s">
        <v>276</v>
      </c>
      <c r="E14" s="815">
        <v>1668</v>
      </c>
      <c r="F14" s="771">
        <v>4923</v>
      </c>
      <c r="G14" s="938">
        <v>3802.5919229079609</v>
      </c>
      <c r="H14" s="1026">
        <f>'Personnel by Fund'!H63</f>
        <v>4372.9328752901665</v>
      </c>
      <c r="I14" s="755"/>
      <c r="J14" s="772">
        <f t="shared" si="0"/>
        <v>4372.9328752901665</v>
      </c>
      <c r="K14" s="816">
        <f t="shared" si="1"/>
        <v>4372.9328752901665</v>
      </c>
    </row>
    <row r="15" spans="1:15" ht="18.75">
      <c r="D15" s="25" t="s">
        <v>407</v>
      </c>
      <c r="E15" s="51">
        <f>SUM(E11:E14)</f>
        <v>8982</v>
      </c>
      <c r="F15" s="748">
        <f t="shared" ref="F15:H15" si="2">SUM(F11:F14)</f>
        <v>25753</v>
      </c>
      <c r="G15" s="775">
        <f t="shared" si="2"/>
        <v>41276.58195289188</v>
      </c>
      <c r="H15" s="775">
        <f t="shared" si="2"/>
        <v>46397.513347511325</v>
      </c>
      <c r="I15" s="755"/>
      <c r="J15" s="748">
        <f t="shared" ref="J15:K15" si="3">SUM(J11:J14)</f>
        <v>46397.513347511325</v>
      </c>
      <c r="K15" s="748">
        <f t="shared" si="3"/>
        <v>46397.513347511325</v>
      </c>
    </row>
    <row r="16" spans="1:15">
      <c r="D16" s="542"/>
      <c r="E16" s="412"/>
      <c r="F16" s="752"/>
      <c r="G16" s="752"/>
      <c r="H16" s="752"/>
      <c r="I16" s="755"/>
      <c r="J16" s="752"/>
      <c r="K16" s="752"/>
    </row>
    <row r="17" spans="1:13" ht="18.75">
      <c r="D17" s="20" t="s">
        <v>48</v>
      </c>
      <c r="E17" s="412"/>
      <c r="F17" s="752"/>
      <c r="G17" s="752"/>
      <c r="H17" s="752"/>
      <c r="I17" s="755"/>
      <c r="J17" s="752"/>
      <c r="K17" s="752"/>
    </row>
    <row r="18" spans="1:13">
      <c r="A18" s="93">
        <v>100</v>
      </c>
      <c r="B18" s="93">
        <v>300</v>
      </c>
      <c r="C18" s="93">
        <v>52002</v>
      </c>
      <c r="D18" s="542" t="s">
        <v>39</v>
      </c>
      <c r="E18" s="802">
        <v>299</v>
      </c>
      <c r="F18" s="802">
        <v>1717</v>
      </c>
      <c r="G18" s="1015">
        <v>500</v>
      </c>
      <c r="H18" s="1015">
        <v>500</v>
      </c>
      <c r="I18" s="755"/>
      <c r="J18" s="752">
        <f t="shared" ref="J18:J34" si="4">IF($N$2="Yes",H18,0)</f>
        <v>500</v>
      </c>
      <c r="K18" s="752">
        <f t="shared" ref="K18:K34" si="5">IF($O$2="Yes",J18,0)</f>
        <v>500</v>
      </c>
    </row>
    <row r="19" spans="1:13" hidden="1">
      <c r="D19" s="542" t="s">
        <v>36</v>
      </c>
      <c r="E19" s="753">
        <v>0</v>
      </c>
      <c r="F19" s="753">
        <v>0</v>
      </c>
      <c r="G19" s="1024">
        <v>0</v>
      </c>
      <c r="H19" s="1024">
        <v>0</v>
      </c>
      <c r="I19" s="755"/>
      <c r="J19" s="752">
        <f t="shared" si="4"/>
        <v>0</v>
      </c>
      <c r="K19" s="753">
        <f t="shared" si="5"/>
        <v>0</v>
      </c>
    </row>
    <row r="20" spans="1:13" s="558" customFormat="1" ht="18" customHeight="1">
      <c r="A20" s="93">
        <v>100</v>
      </c>
      <c r="B20" s="93">
        <v>300</v>
      </c>
      <c r="C20" s="93">
        <v>52012</v>
      </c>
      <c r="D20" s="542" t="s">
        <v>301</v>
      </c>
      <c r="E20" s="802">
        <v>317</v>
      </c>
      <c r="F20" s="802">
        <f>18+907</f>
        <v>925</v>
      </c>
      <c r="G20" s="1015">
        <v>1000</v>
      </c>
      <c r="H20" s="1015">
        <v>1000</v>
      </c>
      <c r="I20" s="755"/>
      <c r="J20" s="752">
        <f t="shared" si="4"/>
        <v>1000</v>
      </c>
      <c r="K20" s="802">
        <f t="shared" si="5"/>
        <v>1000</v>
      </c>
    </row>
    <row r="21" spans="1:13" s="540" customFormat="1">
      <c r="A21" s="93">
        <v>100</v>
      </c>
      <c r="B21" s="93">
        <v>300</v>
      </c>
      <c r="C21" s="93">
        <v>52013</v>
      </c>
      <c r="D21" s="542" t="s">
        <v>40</v>
      </c>
      <c r="E21" s="802">
        <v>21</v>
      </c>
      <c r="F21" s="802">
        <v>0</v>
      </c>
      <c r="G21" s="1015">
        <v>500</v>
      </c>
      <c r="H21" s="1015">
        <v>500</v>
      </c>
      <c r="I21" s="755"/>
      <c r="J21" s="802">
        <f t="shared" si="4"/>
        <v>500</v>
      </c>
      <c r="K21" s="802">
        <f t="shared" si="5"/>
        <v>500</v>
      </c>
      <c r="L21" s="542"/>
      <c r="M21" s="542"/>
    </row>
    <row r="22" spans="1:13" s="558" customFormat="1" ht="18" customHeight="1">
      <c r="A22" s="93">
        <v>100</v>
      </c>
      <c r="B22" s="93">
        <v>300</v>
      </c>
      <c r="C22" s="93">
        <v>52014</v>
      </c>
      <c r="D22" s="542" t="s">
        <v>157</v>
      </c>
      <c r="E22" s="802">
        <v>0</v>
      </c>
      <c r="F22" s="802">
        <v>0</v>
      </c>
      <c r="G22" s="1015">
        <v>1250</v>
      </c>
      <c r="H22" s="1015">
        <v>1250</v>
      </c>
      <c r="I22" s="755"/>
      <c r="J22" s="752">
        <f t="shared" si="4"/>
        <v>1250</v>
      </c>
      <c r="K22" s="802">
        <f t="shared" si="5"/>
        <v>1250</v>
      </c>
    </row>
    <row r="23" spans="1:13">
      <c r="A23" s="93">
        <v>100</v>
      </c>
      <c r="B23" s="93">
        <v>300</v>
      </c>
      <c r="C23" s="93">
        <v>52019</v>
      </c>
      <c r="D23" s="542" t="s">
        <v>72</v>
      </c>
      <c r="E23" s="753">
        <v>0</v>
      </c>
      <c r="F23" s="753">
        <v>0</v>
      </c>
      <c r="G23" s="1024">
        <v>800</v>
      </c>
      <c r="H23" s="1024">
        <v>800</v>
      </c>
      <c r="I23" s="755"/>
      <c r="J23" s="752">
        <f t="shared" si="4"/>
        <v>800</v>
      </c>
      <c r="K23" s="752">
        <f t="shared" si="5"/>
        <v>800</v>
      </c>
    </row>
    <row r="24" spans="1:13">
      <c r="A24" s="1008">
        <v>100</v>
      </c>
      <c r="B24" s="1008">
        <v>300</v>
      </c>
      <c r="C24" s="1008">
        <v>52022</v>
      </c>
      <c r="D24" s="542" t="s">
        <v>61</v>
      </c>
      <c r="E24" s="753">
        <v>697</v>
      </c>
      <c r="F24" s="753">
        <v>861</v>
      </c>
      <c r="G24" s="1015">
        <v>200</v>
      </c>
      <c r="H24" s="1015">
        <v>200</v>
      </c>
      <c r="I24" s="755"/>
      <c r="J24" s="811">
        <f t="shared" si="4"/>
        <v>200</v>
      </c>
      <c r="K24" s="753">
        <f t="shared" si="5"/>
        <v>200</v>
      </c>
    </row>
    <row r="25" spans="1:13">
      <c r="A25" s="558">
        <v>100</v>
      </c>
      <c r="B25" s="558">
        <v>300</v>
      </c>
      <c r="C25" s="558">
        <v>52023</v>
      </c>
      <c r="D25" s="31" t="s">
        <v>255</v>
      </c>
      <c r="E25" s="753">
        <v>0</v>
      </c>
      <c r="F25" s="753">
        <v>0</v>
      </c>
      <c r="G25" s="1015">
        <v>100</v>
      </c>
      <c r="H25" s="1015">
        <v>100</v>
      </c>
      <c r="I25" s="756"/>
      <c r="J25" s="752">
        <f t="shared" si="4"/>
        <v>100</v>
      </c>
      <c r="K25" s="753">
        <f t="shared" si="5"/>
        <v>100</v>
      </c>
    </row>
    <row r="26" spans="1:13">
      <c r="A26" s="558">
        <v>100</v>
      </c>
      <c r="B26" s="558">
        <v>300</v>
      </c>
      <c r="C26" s="558">
        <v>52025</v>
      </c>
      <c r="D26" s="31" t="s">
        <v>158</v>
      </c>
      <c r="E26" s="753">
        <v>3663</v>
      </c>
      <c r="F26" s="753">
        <v>603</v>
      </c>
      <c r="G26" s="1015">
        <v>200</v>
      </c>
      <c r="H26" s="1015">
        <v>200</v>
      </c>
      <c r="I26" s="756"/>
      <c r="J26" s="752">
        <f t="shared" si="4"/>
        <v>200</v>
      </c>
      <c r="K26" s="753">
        <f t="shared" si="5"/>
        <v>200</v>
      </c>
    </row>
    <row r="27" spans="1:13">
      <c r="A27" s="93">
        <v>100</v>
      </c>
      <c r="B27" s="93">
        <v>300</v>
      </c>
      <c r="C27" s="93">
        <v>52030</v>
      </c>
      <c r="D27" s="542" t="s">
        <v>23</v>
      </c>
      <c r="E27" s="802">
        <v>0</v>
      </c>
      <c r="F27" s="752">
        <v>0</v>
      </c>
      <c r="G27" s="1015">
        <v>500</v>
      </c>
      <c r="H27" s="1015">
        <v>500</v>
      </c>
      <c r="I27" s="755"/>
      <c r="J27" s="752">
        <f t="shared" si="4"/>
        <v>500</v>
      </c>
      <c r="K27" s="752">
        <f t="shared" si="5"/>
        <v>500</v>
      </c>
    </row>
    <row r="28" spans="1:13">
      <c r="A28" s="93">
        <v>100</v>
      </c>
      <c r="B28" s="93">
        <v>300</v>
      </c>
      <c r="C28" s="93">
        <v>52103</v>
      </c>
      <c r="D28" s="542" t="s">
        <v>62</v>
      </c>
      <c r="E28" s="802">
        <v>1012</v>
      </c>
      <c r="F28" s="752">
        <v>1147</v>
      </c>
      <c r="G28" s="1015">
        <v>1400</v>
      </c>
      <c r="H28" s="1015">
        <v>1400</v>
      </c>
      <c r="I28" s="755"/>
      <c r="J28" s="752">
        <f t="shared" si="4"/>
        <v>1400</v>
      </c>
      <c r="K28" s="752">
        <f t="shared" si="5"/>
        <v>1400</v>
      </c>
    </row>
    <row r="29" spans="1:13">
      <c r="A29" s="93">
        <v>100</v>
      </c>
      <c r="B29" s="93">
        <v>300</v>
      </c>
      <c r="C29" s="93">
        <v>52106</v>
      </c>
      <c r="D29" s="542" t="s">
        <v>141</v>
      </c>
      <c r="E29" s="802">
        <v>57</v>
      </c>
      <c r="F29" s="752">
        <v>0</v>
      </c>
      <c r="G29" s="1015">
        <v>100</v>
      </c>
      <c r="H29" s="1015">
        <v>100</v>
      </c>
      <c r="I29" s="755"/>
      <c r="J29" s="752">
        <f t="shared" si="4"/>
        <v>100</v>
      </c>
      <c r="K29" s="752">
        <f t="shared" si="5"/>
        <v>100</v>
      </c>
    </row>
    <row r="30" spans="1:13">
      <c r="A30" s="93">
        <v>100</v>
      </c>
      <c r="B30" s="93">
        <v>300</v>
      </c>
      <c r="C30" s="93">
        <v>52108</v>
      </c>
      <c r="D30" s="542" t="s">
        <v>37</v>
      </c>
      <c r="E30" s="802">
        <v>0</v>
      </c>
      <c r="F30" s="752">
        <v>0</v>
      </c>
      <c r="G30" s="1015">
        <v>75</v>
      </c>
      <c r="H30" s="1015">
        <v>75</v>
      </c>
      <c r="I30" s="755"/>
      <c r="J30" s="752">
        <f t="shared" si="4"/>
        <v>75</v>
      </c>
      <c r="K30" s="752">
        <f t="shared" si="5"/>
        <v>75</v>
      </c>
    </row>
    <row r="31" spans="1:13">
      <c r="A31" s="93">
        <v>100</v>
      </c>
      <c r="B31" s="93">
        <v>300</v>
      </c>
      <c r="C31" s="93">
        <v>52109</v>
      </c>
      <c r="D31" s="542" t="s">
        <v>151</v>
      </c>
      <c r="E31" s="802">
        <v>258</v>
      </c>
      <c r="F31" s="752">
        <v>305</v>
      </c>
      <c r="G31" s="1015">
        <v>750</v>
      </c>
      <c r="H31" s="1015">
        <v>750</v>
      </c>
      <c r="I31" s="755"/>
      <c r="J31" s="752">
        <f t="shared" si="4"/>
        <v>750</v>
      </c>
      <c r="K31" s="752">
        <f t="shared" si="5"/>
        <v>750</v>
      </c>
    </row>
    <row r="32" spans="1:13">
      <c r="A32" s="93">
        <v>100</v>
      </c>
      <c r="B32" s="93">
        <v>300</v>
      </c>
      <c r="C32" s="93">
        <v>52111</v>
      </c>
      <c r="D32" s="542" t="s">
        <v>210</v>
      </c>
      <c r="E32" s="802">
        <v>2158</v>
      </c>
      <c r="F32" s="752">
        <v>0</v>
      </c>
      <c r="G32" s="1015">
        <v>2000</v>
      </c>
      <c r="H32" s="1015">
        <v>2000</v>
      </c>
      <c r="I32" s="755"/>
      <c r="J32" s="752">
        <f t="shared" si="4"/>
        <v>2000</v>
      </c>
      <c r="K32" s="752">
        <f t="shared" si="5"/>
        <v>2000</v>
      </c>
    </row>
    <row r="33" spans="1:11">
      <c r="A33" s="93">
        <v>100</v>
      </c>
      <c r="B33" s="93">
        <v>300</v>
      </c>
      <c r="C33" s="93">
        <v>52112</v>
      </c>
      <c r="D33" s="542" t="s">
        <v>73</v>
      </c>
      <c r="E33" s="812">
        <v>1520</v>
      </c>
      <c r="F33" s="812">
        <v>0</v>
      </c>
      <c r="G33" s="1025">
        <v>6000</v>
      </c>
      <c r="H33" s="1025">
        <v>6000</v>
      </c>
      <c r="I33" s="755"/>
      <c r="J33" s="812">
        <f t="shared" si="4"/>
        <v>6000</v>
      </c>
      <c r="K33" s="812">
        <f t="shared" si="5"/>
        <v>6000</v>
      </c>
    </row>
    <row r="34" spans="1:11">
      <c r="A34" s="93">
        <v>100</v>
      </c>
      <c r="B34" s="93">
        <v>300</v>
      </c>
      <c r="C34" s="1009">
        <v>53001</v>
      </c>
      <c r="D34" s="542" t="s">
        <v>168</v>
      </c>
      <c r="E34" s="1012">
        <v>205</v>
      </c>
      <c r="F34" s="1012">
        <v>0</v>
      </c>
      <c r="G34" s="938">
        <v>1500</v>
      </c>
      <c r="H34" s="938">
        <v>1500</v>
      </c>
      <c r="I34" s="755"/>
      <c r="J34" s="1012">
        <f t="shared" si="4"/>
        <v>1500</v>
      </c>
      <c r="K34" s="1012">
        <f t="shared" si="5"/>
        <v>1500</v>
      </c>
    </row>
    <row r="35" spans="1:11" ht="18.75">
      <c r="D35" s="20" t="s">
        <v>68</v>
      </c>
      <c r="E35" s="51">
        <f>SUM(E18:E34)</f>
        <v>10207</v>
      </c>
      <c r="F35" s="748">
        <f t="shared" ref="F35:H35" si="6">SUM(F18:F34)</f>
        <v>5558</v>
      </c>
      <c r="G35" s="784">
        <f t="shared" si="6"/>
        <v>16875</v>
      </c>
      <c r="H35" s="748">
        <f t="shared" si="6"/>
        <v>16875</v>
      </c>
      <c r="I35" s="755"/>
      <c r="J35" s="748">
        <f t="shared" ref="J35:K35" si="7">SUM(J18:J34)</f>
        <v>16875</v>
      </c>
      <c r="K35" s="748">
        <f t="shared" si="7"/>
        <v>16875</v>
      </c>
    </row>
    <row r="36" spans="1:11">
      <c r="D36" s="542"/>
      <c r="E36" s="412"/>
      <c r="F36" s="752"/>
      <c r="G36" s="752"/>
      <c r="H36" s="752"/>
      <c r="I36" s="755"/>
      <c r="J36" s="752"/>
      <c r="K36" s="752"/>
    </row>
    <row r="37" spans="1:11" ht="18.75">
      <c r="D37" s="20" t="s">
        <v>69</v>
      </c>
      <c r="E37" s="412"/>
      <c r="F37" s="752"/>
      <c r="G37" s="752"/>
      <c r="H37" s="752"/>
      <c r="I37" s="755"/>
      <c r="J37" s="752"/>
      <c r="K37" s="752"/>
    </row>
    <row r="38" spans="1:11">
      <c r="D38" s="542" t="s">
        <v>74</v>
      </c>
      <c r="E38" s="822">
        <v>0</v>
      </c>
      <c r="F38" s="814">
        <v>0</v>
      </c>
      <c r="G38" s="814">
        <v>0</v>
      </c>
      <c r="H38" s="814">
        <v>0</v>
      </c>
      <c r="I38" s="722"/>
      <c r="J38" s="814">
        <f t="shared" ref="J38:J41" si="8">IF($N$2="Yes",H38,0)</f>
        <v>0</v>
      </c>
      <c r="K38" s="814">
        <f t="shared" ref="K38:K41" si="9">IF($O$2="Yes",J38,0)</f>
        <v>0</v>
      </c>
    </row>
    <row r="39" spans="1:11" hidden="1">
      <c r="D39" s="542" t="s">
        <v>75</v>
      </c>
      <c r="E39" s="557">
        <v>0</v>
      </c>
      <c r="F39" s="752">
        <v>0</v>
      </c>
      <c r="G39" s="752">
        <v>0</v>
      </c>
      <c r="H39" s="752">
        <v>0</v>
      </c>
      <c r="I39" s="755"/>
      <c r="J39" s="752">
        <f t="shared" si="8"/>
        <v>0</v>
      </c>
      <c r="K39" s="752">
        <f t="shared" si="9"/>
        <v>0</v>
      </c>
    </row>
    <row r="40" spans="1:11" hidden="1">
      <c r="D40" s="542" t="s">
        <v>76</v>
      </c>
      <c r="E40" s="557">
        <v>0</v>
      </c>
      <c r="F40" s="752">
        <v>0</v>
      </c>
      <c r="G40" s="752">
        <v>0</v>
      </c>
      <c r="H40" s="752">
        <v>0</v>
      </c>
      <c r="I40" s="755"/>
      <c r="J40" s="752">
        <f t="shared" si="8"/>
        <v>0</v>
      </c>
      <c r="K40" s="752">
        <f t="shared" si="9"/>
        <v>0</v>
      </c>
    </row>
    <row r="41" spans="1:11" s="94" customFormat="1">
      <c r="D41" s="561" t="s">
        <v>77</v>
      </c>
      <c r="E41" s="599">
        <v>0</v>
      </c>
      <c r="F41" s="771">
        <v>0</v>
      </c>
      <c r="G41" s="771">
        <v>0</v>
      </c>
      <c r="H41" s="771">
        <v>0</v>
      </c>
      <c r="I41" s="755"/>
      <c r="J41" s="771">
        <f t="shared" si="8"/>
        <v>0</v>
      </c>
      <c r="K41" s="771">
        <f t="shared" si="9"/>
        <v>0</v>
      </c>
    </row>
    <row r="42" spans="1:11" s="94" customFormat="1" ht="15.75">
      <c r="D42" s="4" t="s">
        <v>78</v>
      </c>
      <c r="E42" s="51">
        <f>SUM(E38:E41)</f>
        <v>0</v>
      </c>
      <c r="F42" s="748">
        <f>SUM(F38:F41)</f>
        <v>0</v>
      </c>
      <c r="G42" s="748">
        <f>SUM(G38:G41)</f>
        <v>0</v>
      </c>
      <c r="H42" s="748">
        <v>0</v>
      </c>
      <c r="I42" s="748"/>
      <c r="J42" s="748">
        <f>SUM(J38:J41)</f>
        <v>0</v>
      </c>
      <c r="K42" s="748">
        <v>0</v>
      </c>
    </row>
    <row r="43" spans="1:11" s="94" customFormat="1" ht="15.75">
      <c r="D43" s="4"/>
      <c r="E43" s="51"/>
      <c r="F43" s="748"/>
      <c r="G43" s="748"/>
      <c r="H43" s="748"/>
      <c r="I43" s="748"/>
      <c r="J43" s="748"/>
      <c r="K43" s="748"/>
    </row>
    <row r="44" spans="1:11" s="94" customFormat="1" ht="15.75">
      <c r="D44" s="4" t="s">
        <v>134</v>
      </c>
      <c r="E44" s="51"/>
      <c r="F44" s="748"/>
      <c r="G44" s="748"/>
      <c r="H44" s="748"/>
      <c r="I44" s="748"/>
      <c r="J44" s="748"/>
      <c r="K44" s="748"/>
    </row>
    <row r="45" spans="1:11" s="94" customFormat="1" ht="15">
      <c r="A45" s="94">
        <v>100</v>
      </c>
      <c r="B45" s="94">
        <v>300</v>
      </c>
      <c r="C45" s="94">
        <v>55600</v>
      </c>
      <c r="D45" s="561" t="s">
        <v>135</v>
      </c>
      <c r="E45" s="560">
        <v>5000</v>
      </c>
      <c r="F45" s="762">
        <v>5000</v>
      </c>
      <c r="G45" s="762">
        <v>5000</v>
      </c>
      <c r="H45" s="813">
        <f>'CIP_Rec Costs'!E38</f>
        <v>5000</v>
      </c>
      <c r="I45" s="761"/>
      <c r="J45" s="772">
        <f t="shared" ref="J45" si="10">IF($N$2="Yes",H45,0)</f>
        <v>5000</v>
      </c>
      <c r="K45" s="772">
        <f t="shared" ref="K45" si="11">IF($O$2="Yes",J45,0)</f>
        <v>5000</v>
      </c>
    </row>
    <row r="46" spans="1:11" s="94" customFormat="1" ht="15.75">
      <c r="D46" s="4" t="s">
        <v>25</v>
      </c>
      <c r="E46" s="51">
        <f>SUM(E45)</f>
        <v>5000</v>
      </c>
      <c r="F46" s="748">
        <f t="shared" ref="F46:H46" si="12">SUM(F45)</f>
        <v>5000</v>
      </c>
      <c r="G46" s="748">
        <f t="shared" si="12"/>
        <v>5000</v>
      </c>
      <c r="H46" s="748">
        <f t="shared" si="12"/>
        <v>5000</v>
      </c>
      <c r="I46" s="748"/>
      <c r="J46" s="748">
        <f t="shared" ref="J46:K46" si="13">SUM(J45)</f>
        <v>5000</v>
      </c>
      <c r="K46" s="748">
        <f t="shared" si="13"/>
        <v>5000</v>
      </c>
    </row>
    <row r="47" spans="1:11" s="94" customFormat="1" ht="15.75" hidden="1">
      <c r="D47" s="4"/>
      <c r="E47" s="51"/>
      <c r="F47" s="748"/>
      <c r="G47" s="748"/>
      <c r="H47" s="748"/>
      <c r="I47" s="748"/>
      <c r="J47" s="748"/>
      <c r="K47" s="748"/>
    </row>
    <row r="48" spans="1:11" s="94" customFormat="1" ht="15.75" hidden="1">
      <c r="D48" s="4"/>
      <c r="E48" s="51"/>
      <c r="F48" s="51"/>
      <c r="G48" s="51"/>
      <c r="H48" s="748"/>
      <c r="I48" s="748"/>
      <c r="J48" s="748"/>
      <c r="K48" s="748"/>
    </row>
    <row r="49" spans="1:11" s="94" customFormat="1" ht="18.75" hidden="1">
      <c r="D49" s="582"/>
      <c r="E49" s="420"/>
      <c r="F49" s="420"/>
      <c r="G49" s="420"/>
      <c r="H49" s="412"/>
      <c r="I49" s="773"/>
      <c r="J49" s="754"/>
      <c r="K49" s="754"/>
    </row>
    <row r="50" spans="1:11" s="422" customFormat="1" ht="15.75" hidden="1">
      <c r="A50" s="806"/>
      <c r="B50" s="806"/>
      <c r="C50" s="806"/>
      <c r="D50" s="421" t="s">
        <v>364</v>
      </c>
      <c r="E50" s="418"/>
      <c r="F50" s="417"/>
      <c r="G50" s="417"/>
      <c r="H50" s="412"/>
      <c r="I50" s="753"/>
      <c r="J50" s="753"/>
      <c r="K50" s="753"/>
    </row>
    <row r="51" spans="1:11" s="422" customFormat="1" hidden="1">
      <c r="A51" s="806"/>
      <c r="B51" s="806"/>
      <c r="C51" s="806"/>
      <c r="D51" s="422" t="s">
        <v>173</v>
      </c>
      <c r="E51" s="418">
        <v>0</v>
      </c>
      <c r="F51" s="412">
        <v>0</v>
      </c>
      <c r="G51" s="412">
        <v>0</v>
      </c>
      <c r="H51" s="412">
        <v>0</v>
      </c>
      <c r="I51" s="760"/>
      <c r="J51" s="753">
        <f t="shared" ref="J51:J53" si="14">IF($N$2="Yes",H51,0)</f>
        <v>0</v>
      </c>
      <c r="K51" s="753">
        <f t="shared" ref="K51:K53" si="15">IF($O$2="Yes",J51,0)</f>
        <v>0</v>
      </c>
    </row>
    <row r="52" spans="1:11" s="422" customFormat="1" hidden="1">
      <c r="A52" s="806"/>
      <c r="B52" s="806"/>
      <c r="C52" s="806"/>
      <c r="D52" s="561" t="s">
        <v>74</v>
      </c>
      <c r="E52" s="418">
        <v>0</v>
      </c>
      <c r="F52" s="417">
        <v>0</v>
      </c>
      <c r="G52" s="417">
        <v>0</v>
      </c>
      <c r="H52" s="412">
        <v>0</v>
      </c>
      <c r="I52" s="760"/>
      <c r="J52" s="753">
        <f t="shared" si="14"/>
        <v>0</v>
      </c>
      <c r="K52" s="753">
        <f t="shared" si="15"/>
        <v>0</v>
      </c>
    </row>
    <row r="53" spans="1:11" s="422" customFormat="1" hidden="1">
      <c r="A53" s="806"/>
      <c r="B53" s="806"/>
      <c r="C53" s="806"/>
      <c r="D53" s="561" t="s">
        <v>77</v>
      </c>
      <c r="E53" s="643">
        <v>0</v>
      </c>
      <c r="F53" s="643">
        <v>0</v>
      </c>
      <c r="G53" s="643">
        <v>0</v>
      </c>
      <c r="H53" s="600">
        <v>0</v>
      </c>
      <c r="I53" s="756"/>
      <c r="J53" s="774">
        <f t="shared" si="14"/>
        <v>0</v>
      </c>
      <c r="K53" s="774">
        <f t="shared" si="15"/>
        <v>0</v>
      </c>
    </row>
    <row r="54" spans="1:11" s="422" customFormat="1" ht="15.75" hidden="1">
      <c r="A54" s="806"/>
      <c r="B54" s="806"/>
      <c r="C54" s="806"/>
      <c r="D54" s="421" t="s">
        <v>55</v>
      </c>
      <c r="E54" s="212">
        <f>SUM(E51:E53)</f>
        <v>0</v>
      </c>
      <c r="F54" s="212">
        <f t="shared" ref="F54:H54" si="16">SUM(F51:F53)</f>
        <v>0</v>
      </c>
      <c r="G54" s="212">
        <f t="shared" si="16"/>
        <v>0</v>
      </c>
      <c r="H54" s="212">
        <f t="shared" si="16"/>
        <v>0</v>
      </c>
      <c r="I54" s="749"/>
      <c r="J54" s="749">
        <f t="shared" ref="J54:K54" si="17">SUM(J51:J53)</f>
        <v>0</v>
      </c>
      <c r="K54" s="749">
        <f t="shared" si="17"/>
        <v>0</v>
      </c>
    </row>
    <row r="55" spans="1:11" s="94" customFormat="1" ht="19.5" thickBot="1">
      <c r="D55" s="561"/>
      <c r="E55" s="424"/>
      <c r="F55" s="424" t="s">
        <v>5</v>
      </c>
      <c r="G55" s="424"/>
      <c r="H55" s="424"/>
      <c r="I55" s="755"/>
      <c r="J55" s="758" t="s">
        <v>5</v>
      </c>
      <c r="K55" s="758" t="s">
        <v>5</v>
      </c>
    </row>
    <row r="56" spans="1:11" ht="19.5" thickTop="1">
      <c r="D56" s="20" t="s">
        <v>28</v>
      </c>
      <c r="E56" s="784">
        <f t="shared" ref="E56:G56" si="18">SUM(E35+E15+E42+E46+E54)</f>
        <v>24189</v>
      </c>
      <c r="F56" s="51">
        <f t="shared" si="18"/>
        <v>36311</v>
      </c>
      <c r="G56" s="51">
        <f t="shared" si="18"/>
        <v>63151.58195289188</v>
      </c>
      <c r="H56" s="51">
        <f>SUM(H35+H15+H42+H46+H54)</f>
        <v>68272.513347511325</v>
      </c>
      <c r="I56" s="416"/>
      <c r="J56" s="784">
        <f>SUM(J35+J15+J42+J46+J54)</f>
        <v>68272.513347511325</v>
      </c>
      <c r="K56" s="784">
        <f>SUM(K35+K15+K42+K46+K54)</f>
        <v>68272.513347511325</v>
      </c>
    </row>
    <row r="57" spans="1:11">
      <c r="D57" s="542"/>
      <c r="E57" s="542"/>
      <c r="F57" s="542"/>
      <c r="G57" s="26"/>
      <c r="H57" s="425"/>
    </row>
    <row r="58" spans="1:11">
      <c r="D58" s="93" t="s">
        <v>433</v>
      </c>
      <c r="E58" s="652">
        <f>E46</f>
        <v>5000</v>
      </c>
      <c r="F58" s="652">
        <f t="shared" ref="F58:H58" si="19">F46</f>
        <v>5000</v>
      </c>
      <c r="G58" s="652">
        <f t="shared" si="19"/>
        <v>5000</v>
      </c>
      <c r="H58" s="652">
        <f t="shared" si="19"/>
        <v>5000</v>
      </c>
      <c r="J58" s="652">
        <f t="shared" ref="J58:K58" si="20">J46</f>
        <v>5000</v>
      </c>
      <c r="K58" s="652">
        <f t="shared" si="20"/>
        <v>5000</v>
      </c>
    </row>
    <row r="59" spans="1:11" s="25" customFormat="1" ht="18.75">
      <c r="D59" s="20" t="s">
        <v>434</v>
      </c>
      <c r="E59" s="20">
        <f>E56-E58</f>
        <v>19189</v>
      </c>
      <c r="F59" s="20">
        <f t="shared" ref="F59:H59" si="21">F56-F58</f>
        <v>31311</v>
      </c>
      <c r="G59" s="20">
        <f t="shared" si="21"/>
        <v>58151.58195289188</v>
      </c>
      <c r="H59" s="20">
        <f t="shared" si="21"/>
        <v>63272.513347511325</v>
      </c>
      <c r="I59" s="651"/>
      <c r="J59" s="20">
        <f t="shared" ref="J59:K59" si="22">J56-J58</f>
        <v>63272.513347511325</v>
      </c>
      <c r="K59" s="20">
        <f t="shared" si="22"/>
        <v>63272.513347511325</v>
      </c>
    </row>
    <row r="61" spans="1:11">
      <c r="E61" s="93">
        <f>E59-'Combined GF Revenues'!E49</f>
        <v>0</v>
      </c>
      <c r="F61" s="93">
        <f>F59-'Combined GF Revenues'!F49</f>
        <v>0</v>
      </c>
      <c r="G61" s="93">
        <f>G59-'Combined GF Revenues'!G49</f>
        <v>0</v>
      </c>
      <c r="H61" s="93">
        <f>H59-'Combined GF Revenues'!H49</f>
        <v>0</v>
      </c>
      <c r="J61" s="93">
        <f>J59-'Combined GF Revenues'!J49</f>
        <v>63272.513347511325</v>
      </c>
      <c r="K61" s="93">
        <f>K59-'Combined GF Revenues'!K49</f>
        <v>63272.513347511325</v>
      </c>
    </row>
    <row r="63" spans="1:11">
      <c r="D63" s="542"/>
      <c r="E63" s="542"/>
      <c r="F63" s="542"/>
      <c r="G63" s="542"/>
      <c r="H63" s="556"/>
    </row>
    <row r="64" spans="1:11" ht="15">
      <c r="D64" s="542"/>
      <c r="E64" s="542"/>
      <c r="F64" s="542"/>
      <c r="G64" s="542"/>
      <c r="H64" s="556"/>
      <c r="I64" s="93"/>
    </row>
    <row r="65" spans="4:9" ht="15">
      <c r="D65" s="542"/>
      <c r="E65" s="542"/>
      <c r="F65" s="542"/>
      <c r="G65" s="542"/>
      <c r="H65" s="556"/>
      <c r="I65" s="93"/>
    </row>
    <row r="66" spans="4:9" ht="15">
      <c r="D66" s="542"/>
      <c r="E66" s="542"/>
      <c r="F66" s="542"/>
      <c r="G66" s="542"/>
      <c r="H66" s="556"/>
      <c r="I66" s="93"/>
    </row>
    <row r="67" spans="4:9" ht="15">
      <c r="D67" s="542"/>
      <c r="E67" s="542"/>
      <c r="F67" s="542"/>
      <c r="G67" s="542"/>
      <c r="H67" s="556"/>
      <c r="I67" s="93"/>
    </row>
    <row r="68" spans="4:9" ht="15">
      <c r="H68" s="412"/>
      <c r="I68" s="93"/>
    </row>
    <row r="69" spans="4:9" ht="15">
      <c r="H69" s="412"/>
      <c r="I69" s="93"/>
    </row>
    <row r="70" spans="4:9">
      <c r="H70" s="412"/>
    </row>
    <row r="71" spans="4:9" ht="15">
      <c r="D71" s="542"/>
      <c r="E71" s="605"/>
      <c r="F71" s="605"/>
      <c r="H71" s="412"/>
      <c r="I71" s="93"/>
    </row>
    <row r="72" spans="4:9" ht="15">
      <c r="D72" s="542"/>
      <c r="E72" s="605"/>
      <c r="F72" s="605"/>
      <c r="H72" s="412"/>
      <c r="I72" s="93"/>
    </row>
    <row r="73" spans="4:9" ht="15">
      <c r="D73" s="542"/>
      <c r="E73" s="605"/>
      <c r="F73" s="605"/>
      <c r="H73" s="412"/>
      <c r="I73" s="93"/>
    </row>
    <row r="74" spans="4:9">
      <c r="H74" s="412"/>
    </row>
    <row r="75" spans="4:9">
      <c r="H75" s="412"/>
    </row>
    <row r="76" spans="4:9">
      <c r="H76" s="412"/>
    </row>
    <row r="77" spans="4:9">
      <c r="H77" s="412"/>
    </row>
    <row r="78" spans="4:9">
      <c r="H78" s="412"/>
    </row>
    <row r="79" spans="4:9">
      <c r="H79" s="412"/>
    </row>
  </sheetData>
  <sortState ref="A18:K34">
    <sortCondition ref="C18:C34"/>
  </sortState>
  <mergeCells count="3">
    <mergeCell ref="D4:K4"/>
    <mergeCell ref="D1:K1"/>
    <mergeCell ref="D2:K2"/>
  </mergeCells>
  <phoneticPr fontId="0" type="noConversion"/>
  <printOptions horizontalCentered="1"/>
  <pageMargins left="0.7" right="0.7" top="0.75" bottom="0.99" header="0.3" footer="0.71"/>
  <pageSetup scale="71" orientation="portrait" horizontalDpi="4294967293" r:id="rId1"/>
  <headerFooter>
    <oddFooter>&amp;C&amp;F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6"/>
  <sheetViews>
    <sheetView topLeftCell="A49" zoomScale="80" zoomScaleNormal="80" zoomScalePageLayoutView="80" workbookViewId="0">
      <selection activeCell="D78" sqref="D78"/>
    </sheetView>
  </sheetViews>
  <sheetFormatPr defaultColWidth="14.7109375" defaultRowHeight="18"/>
  <cols>
    <col min="1" max="2" width="10.7109375" style="1008" customWidth="1"/>
    <col min="3" max="3" width="11.28515625" style="1008" bestFit="1" customWidth="1"/>
    <col min="4" max="4" width="51.140625" style="540" customWidth="1"/>
    <col min="5" max="5" width="14" style="540" customWidth="1"/>
    <col min="6" max="6" width="14" style="567" customWidth="1"/>
    <col min="7" max="7" width="14" style="540" customWidth="1"/>
    <col min="8" max="8" width="14" style="553" customWidth="1"/>
    <col min="9" max="9" width="5.28515625" style="594" customWidth="1"/>
    <col min="10" max="11" width="14" style="551" customWidth="1"/>
    <col min="12" max="16384" width="14.7109375" style="540"/>
  </cols>
  <sheetData>
    <row r="1" spans="1:14" ht="15.75">
      <c r="D1" s="1075" t="s">
        <v>0</v>
      </c>
      <c r="E1" s="1075"/>
      <c r="F1" s="1075"/>
      <c r="G1" s="1075"/>
      <c r="H1" s="1075"/>
      <c r="I1" s="1075"/>
      <c r="J1" s="1075"/>
      <c r="K1" s="1075"/>
      <c r="M1" s="1" t="s">
        <v>381</v>
      </c>
      <c r="N1" s="1" t="s">
        <v>382</v>
      </c>
    </row>
    <row r="2" spans="1:14" ht="15.75">
      <c r="D2" s="1061" t="str">
        <f>'GF-Parks'!D2:K2</f>
        <v>FISCAL YEAR 2022-2023</v>
      </c>
      <c r="E2" s="1061"/>
      <c r="F2" s="1061"/>
      <c r="G2" s="1061"/>
      <c r="H2" s="1061"/>
      <c r="I2" s="1061"/>
      <c r="J2" s="1061"/>
      <c r="K2" s="1061"/>
      <c r="M2" s="778" t="s">
        <v>568</v>
      </c>
      <c r="N2" s="780" t="s">
        <v>568</v>
      </c>
    </row>
    <row r="3" spans="1:14">
      <c r="D3" s="93"/>
      <c r="E3" s="93"/>
      <c r="F3" s="93"/>
      <c r="G3" s="93"/>
      <c r="H3" s="94"/>
      <c r="I3" s="432"/>
      <c r="J3" s="94"/>
      <c r="K3" s="94"/>
    </row>
    <row r="4" spans="1:14" ht="15.75">
      <c r="D4" s="1070" t="s">
        <v>378</v>
      </c>
      <c r="E4" s="1070"/>
      <c r="F4" s="1070"/>
      <c r="G4" s="1070"/>
      <c r="H4" s="1070"/>
      <c r="I4" s="1070"/>
      <c r="J4" s="1070"/>
      <c r="K4" s="1070"/>
      <c r="L4" s="541"/>
    </row>
    <row r="5" spans="1:14">
      <c r="D5" s="93"/>
      <c r="E5" s="93"/>
      <c r="F5" s="93"/>
      <c r="G5" s="93"/>
      <c r="H5" s="94"/>
      <c r="I5" s="432"/>
      <c r="J5" s="94"/>
      <c r="K5" s="94"/>
      <c r="L5" s="542"/>
    </row>
    <row r="6" spans="1:14" ht="18.75">
      <c r="D6" s="543"/>
      <c r="E6" s="544" t="s">
        <v>54</v>
      </c>
      <c r="F6" s="544" t="s">
        <v>54</v>
      </c>
      <c r="G6" s="545" t="s">
        <v>1</v>
      </c>
      <c r="H6" s="545" t="s">
        <v>2</v>
      </c>
      <c r="I6" s="570"/>
      <c r="J6" s="569" t="s">
        <v>376</v>
      </c>
      <c r="K6" s="545" t="s">
        <v>377</v>
      </c>
      <c r="L6" s="542"/>
      <c r="M6" s="542"/>
    </row>
    <row r="7" spans="1:14" ht="18.75">
      <c r="D7" s="543"/>
      <c r="E7" s="544"/>
      <c r="F7" s="544"/>
      <c r="G7" s="545" t="s">
        <v>3</v>
      </c>
      <c r="H7" s="545" t="s">
        <v>56</v>
      </c>
      <c r="I7" s="570"/>
      <c r="J7" s="569" t="s">
        <v>56</v>
      </c>
      <c r="K7" s="545" t="s">
        <v>56</v>
      </c>
      <c r="L7" s="542"/>
      <c r="M7" s="542"/>
    </row>
    <row r="8" spans="1:14" s="1" customFormat="1" ht="18.75">
      <c r="A8" s="1008"/>
      <c r="B8" s="1008"/>
      <c r="C8" s="1008"/>
      <c r="D8" s="543"/>
      <c r="E8" s="549" t="s">
        <v>330</v>
      </c>
      <c r="F8" s="549" t="s">
        <v>366</v>
      </c>
      <c r="G8" s="549" t="s">
        <v>472</v>
      </c>
      <c r="H8" s="1021" t="s">
        <v>473</v>
      </c>
      <c r="I8" s="571"/>
      <c r="J8" s="548" t="str">
        <f>H8</f>
        <v>2022-23</v>
      </c>
      <c r="K8" s="548" t="str">
        <f>J8</f>
        <v>2022-23</v>
      </c>
    </row>
    <row r="9" spans="1:14" ht="18.75" hidden="1">
      <c r="D9" s="20" t="s">
        <v>405</v>
      </c>
      <c r="E9" s="551">
        <v>0</v>
      </c>
      <c r="F9" s="552">
        <v>0</v>
      </c>
      <c r="G9" s="551"/>
      <c r="H9" s="1027"/>
      <c r="I9" s="721"/>
      <c r="J9" s="561"/>
    </row>
    <row r="10" spans="1:14" hidden="1">
      <c r="D10" s="554"/>
      <c r="E10" s="551"/>
      <c r="F10" s="551"/>
      <c r="G10" s="551"/>
      <c r="H10" s="1027"/>
    </row>
    <row r="11" spans="1:14" ht="18.75">
      <c r="D11" s="20" t="s">
        <v>57</v>
      </c>
      <c r="E11" s="551"/>
      <c r="F11" s="551"/>
      <c r="G11" s="553"/>
      <c r="H11" s="1027"/>
      <c r="I11" s="721"/>
      <c r="J11" s="561"/>
    </row>
    <row r="12" spans="1:14" ht="18" customHeight="1">
      <c r="A12" s="1008">
        <v>100</v>
      </c>
      <c r="B12" s="1008">
        <v>900</v>
      </c>
      <c r="C12" s="1008">
        <v>52002</v>
      </c>
      <c r="D12" s="561" t="s">
        <v>39</v>
      </c>
      <c r="E12" s="802">
        <v>7906</v>
      </c>
      <c r="F12" s="802">
        <v>8901</v>
      </c>
      <c r="G12" s="811">
        <v>3500</v>
      </c>
      <c r="H12" s="1015">
        <v>3500</v>
      </c>
      <c r="I12" s="756"/>
      <c r="J12" s="811">
        <f t="shared" ref="J12:J45" si="0">IF($M$2="Yes",H12,0)</f>
        <v>0</v>
      </c>
      <c r="K12" s="802">
        <f t="shared" ref="K12:K45" si="1">IF($N$2="Yes",J12,0)</f>
        <v>0</v>
      </c>
      <c r="L12" s="542"/>
      <c r="M12" s="542"/>
      <c r="N12" s="542"/>
    </row>
    <row r="13" spans="1:14" ht="18" customHeight="1">
      <c r="A13" s="1008">
        <v>100</v>
      </c>
      <c r="B13" s="1008">
        <v>900</v>
      </c>
      <c r="C13" s="1008">
        <v>52010</v>
      </c>
      <c r="D13" s="561" t="s">
        <v>65</v>
      </c>
      <c r="E13" s="802">
        <v>1687</v>
      </c>
      <c r="F13" s="802">
        <v>2021</v>
      </c>
      <c r="G13" s="811">
        <v>1500</v>
      </c>
      <c r="H13" s="1015">
        <v>1500</v>
      </c>
      <c r="I13" s="756"/>
      <c r="J13" s="811">
        <f t="shared" si="0"/>
        <v>0</v>
      </c>
      <c r="K13" s="802">
        <f t="shared" si="1"/>
        <v>0</v>
      </c>
      <c r="L13" s="542"/>
      <c r="M13" s="542"/>
      <c r="N13" s="542"/>
    </row>
    <row r="14" spans="1:14" ht="18" hidden="1" customHeight="1">
      <c r="D14" s="561" t="s">
        <v>383</v>
      </c>
      <c r="E14" s="802">
        <v>0</v>
      </c>
      <c r="F14" s="802">
        <v>0</v>
      </c>
      <c r="G14" s="811">
        <v>0</v>
      </c>
      <c r="H14" s="1015">
        <v>0</v>
      </c>
      <c r="I14" s="756"/>
      <c r="J14" s="811">
        <f t="shared" si="0"/>
        <v>0</v>
      </c>
      <c r="K14" s="802">
        <f t="shared" si="1"/>
        <v>0</v>
      </c>
      <c r="L14" s="542"/>
      <c r="M14" s="542"/>
      <c r="N14" s="542"/>
    </row>
    <row r="15" spans="1:14" ht="18" hidden="1" customHeight="1">
      <c r="D15" s="561" t="s">
        <v>384</v>
      </c>
      <c r="E15" s="802">
        <v>0</v>
      </c>
      <c r="F15" s="802">
        <v>0</v>
      </c>
      <c r="G15" s="811">
        <v>0</v>
      </c>
      <c r="H15" s="1015">
        <v>0</v>
      </c>
      <c r="I15" s="756"/>
      <c r="J15" s="811">
        <f t="shared" si="0"/>
        <v>0</v>
      </c>
      <c r="K15" s="802">
        <f t="shared" si="1"/>
        <v>0</v>
      </c>
      <c r="L15" s="542"/>
      <c r="M15" s="542"/>
      <c r="N15" s="542"/>
    </row>
    <row r="16" spans="1:14" ht="18" customHeight="1">
      <c r="A16" s="1010">
        <v>100</v>
      </c>
      <c r="B16" s="1010">
        <v>900</v>
      </c>
      <c r="C16" s="1010">
        <v>52012</v>
      </c>
      <c r="D16" s="551" t="s">
        <v>307</v>
      </c>
      <c r="E16" s="802">
        <v>0</v>
      </c>
      <c r="F16" s="802">
        <v>0</v>
      </c>
      <c r="G16" s="811">
        <v>4000</v>
      </c>
      <c r="H16" s="1015">
        <v>4000</v>
      </c>
      <c r="I16" s="802"/>
      <c r="J16" s="811">
        <f t="shared" si="0"/>
        <v>0</v>
      </c>
      <c r="K16" s="802">
        <f t="shared" si="1"/>
        <v>0</v>
      </c>
      <c r="L16" s="542"/>
      <c r="M16" s="542"/>
      <c r="N16" s="542"/>
    </row>
    <row r="17" spans="1:14" ht="18" customHeight="1">
      <c r="A17" s="1010">
        <v>100</v>
      </c>
      <c r="B17" s="1010">
        <v>900</v>
      </c>
      <c r="C17" s="1010">
        <v>52012</v>
      </c>
      <c r="D17" s="561" t="s">
        <v>308</v>
      </c>
      <c r="E17" s="802">
        <v>6189</v>
      </c>
      <c r="F17" s="802">
        <v>9515</v>
      </c>
      <c r="G17" s="811">
        <v>5000</v>
      </c>
      <c r="H17" s="1015">
        <v>5000</v>
      </c>
      <c r="I17" s="756"/>
      <c r="J17" s="811">
        <f t="shared" si="0"/>
        <v>0</v>
      </c>
      <c r="K17" s="802">
        <f t="shared" si="1"/>
        <v>0</v>
      </c>
      <c r="L17" s="542"/>
      <c r="M17" s="542"/>
      <c r="N17" s="542"/>
    </row>
    <row r="18" spans="1:14" s="810" customFormat="1" ht="18" customHeight="1">
      <c r="A18" s="1008">
        <v>100</v>
      </c>
      <c r="B18" s="1008">
        <v>900</v>
      </c>
      <c r="C18" s="1008">
        <v>52013</v>
      </c>
      <c r="D18" s="561" t="s">
        <v>40</v>
      </c>
      <c r="E18" s="812">
        <v>847</v>
      </c>
      <c r="F18" s="812">
        <v>2179</v>
      </c>
      <c r="G18" s="812">
        <v>0</v>
      </c>
      <c r="H18" s="1015">
        <v>0</v>
      </c>
      <c r="I18" s="722"/>
      <c r="J18" s="812">
        <f t="shared" si="0"/>
        <v>0</v>
      </c>
      <c r="K18" s="812">
        <f t="shared" si="1"/>
        <v>0</v>
      </c>
      <c r="L18" s="542"/>
      <c r="M18" s="542"/>
      <c r="N18" s="542"/>
    </row>
    <row r="19" spans="1:14" ht="18" customHeight="1">
      <c r="A19" s="1008">
        <v>100</v>
      </c>
      <c r="B19" s="1008">
        <v>900</v>
      </c>
      <c r="C19" s="1008">
        <v>52014</v>
      </c>
      <c r="D19" s="561" t="s">
        <v>205</v>
      </c>
      <c r="E19" s="812">
        <v>0</v>
      </c>
      <c r="F19" s="812">
        <v>15</v>
      </c>
      <c r="G19" s="812">
        <v>200</v>
      </c>
      <c r="H19" s="1015">
        <v>200</v>
      </c>
      <c r="I19" s="755"/>
      <c r="J19" s="812">
        <f t="shared" si="0"/>
        <v>0</v>
      </c>
      <c r="K19" s="812">
        <f t="shared" si="1"/>
        <v>0</v>
      </c>
      <c r="L19" s="542"/>
      <c r="M19" s="542"/>
      <c r="N19" s="542"/>
    </row>
    <row r="20" spans="1:14" ht="18" customHeight="1">
      <c r="A20" s="1008">
        <v>100</v>
      </c>
      <c r="B20" s="1008">
        <v>900</v>
      </c>
      <c r="C20" s="1008">
        <v>52016</v>
      </c>
      <c r="D20" s="561" t="s">
        <v>58</v>
      </c>
      <c r="E20" s="802">
        <v>2066</v>
      </c>
      <c r="F20" s="802">
        <v>2530</v>
      </c>
      <c r="G20" s="811">
        <v>5700</v>
      </c>
      <c r="H20" s="1015">
        <f>19000*0.3</f>
        <v>5700</v>
      </c>
      <c r="I20" s="756"/>
      <c r="J20" s="811">
        <f t="shared" si="0"/>
        <v>0</v>
      </c>
      <c r="K20" s="802">
        <f t="shared" si="1"/>
        <v>0</v>
      </c>
      <c r="L20" s="542"/>
      <c r="M20" s="542"/>
    </row>
    <row r="21" spans="1:14" s="810" customFormat="1" ht="18" customHeight="1">
      <c r="A21" s="1008">
        <v>100</v>
      </c>
      <c r="B21" s="1008">
        <v>900</v>
      </c>
      <c r="C21" s="1008">
        <v>52017</v>
      </c>
      <c r="D21" s="561" t="s">
        <v>33</v>
      </c>
      <c r="E21" s="802">
        <v>0</v>
      </c>
      <c r="F21" s="802">
        <v>7958</v>
      </c>
      <c r="G21" s="811">
        <v>0</v>
      </c>
      <c r="H21" s="1015">
        <v>0</v>
      </c>
      <c r="I21" s="756"/>
      <c r="J21" s="811">
        <f t="shared" ref="J21" si="2">IF($M$2="Yes",H21,0)</f>
        <v>0</v>
      </c>
      <c r="K21" s="802">
        <f t="shared" ref="K21" si="3">IF($N$2="Yes",J21,0)</f>
        <v>0</v>
      </c>
      <c r="L21" s="542"/>
      <c r="M21" s="542"/>
    </row>
    <row r="22" spans="1:14" s="558" customFormat="1" ht="18" customHeight="1">
      <c r="A22" s="1008">
        <v>100</v>
      </c>
      <c r="B22" s="1008">
        <v>900</v>
      </c>
      <c r="C22" s="1008">
        <v>52019</v>
      </c>
      <c r="D22" s="561" t="s">
        <v>159</v>
      </c>
      <c r="E22" s="802">
        <v>65242</v>
      </c>
      <c r="F22" s="802">
        <v>101316</v>
      </c>
      <c r="G22" s="811">
        <v>30000</v>
      </c>
      <c r="H22" s="1015">
        <v>50000</v>
      </c>
      <c r="I22" s="756">
        <v>1</v>
      </c>
      <c r="J22" s="811">
        <f t="shared" si="0"/>
        <v>0</v>
      </c>
      <c r="K22" s="802">
        <f t="shared" si="1"/>
        <v>0</v>
      </c>
    </row>
    <row r="23" spans="1:14" s="558" customFormat="1" ht="18" customHeight="1">
      <c r="A23" s="1008">
        <v>100</v>
      </c>
      <c r="B23" s="1008">
        <v>900</v>
      </c>
      <c r="C23" s="1008">
        <v>52020</v>
      </c>
      <c r="D23" s="561" t="s">
        <v>569</v>
      </c>
      <c r="E23" s="802">
        <v>0</v>
      </c>
      <c r="F23" s="802">
        <v>30888</v>
      </c>
      <c r="G23" s="811">
        <v>0</v>
      </c>
      <c r="H23" s="1015">
        <v>0</v>
      </c>
      <c r="I23" s="756"/>
      <c r="J23" s="811">
        <f t="shared" si="0"/>
        <v>0</v>
      </c>
      <c r="K23" s="802">
        <f t="shared" si="1"/>
        <v>0</v>
      </c>
    </row>
    <row r="24" spans="1:14" ht="18" customHeight="1">
      <c r="A24" s="1008">
        <v>100</v>
      </c>
      <c r="B24" s="1008">
        <v>900</v>
      </c>
      <c r="C24" s="1008">
        <v>52021</v>
      </c>
      <c r="D24" s="561" t="s">
        <v>209</v>
      </c>
      <c r="E24" s="802">
        <v>17049</v>
      </c>
      <c r="F24" s="802">
        <v>12535</v>
      </c>
      <c r="G24" s="811">
        <v>20000</v>
      </c>
      <c r="H24" s="1015">
        <v>20000</v>
      </c>
      <c r="I24" s="756"/>
      <c r="J24" s="811">
        <f t="shared" si="0"/>
        <v>0</v>
      </c>
      <c r="K24" s="802">
        <f t="shared" si="1"/>
        <v>0</v>
      </c>
      <c r="L24" s="542"/>
      <c r="M24" s="542"/>
    </row>
    <row r="25" spans="1:14" s="558" customFormat="1" ht="18" customHeight="1">
      <c r="A25" s="1008">
        <v>100</v>
      </c>
      <c r="B25" s="1008">
        <v>900</v>
      </c>
      <c r="C25" s="1008">
        <v>52022</v>
      </c>
      <c r="D25" s="561" t="s">
        <v>61</v>
      </c>
      <c r="E25" s="802">
        <v>441</v>
      </c>
      <c r="F25" s="802">
        <v>372</v>
      </c>
      <c r="G25" s="811">
        <v>4500</v>
      </c>
      <c r="H25" s="1015">
        <v>4500</v>
      </c>
      <c r="I25" s="755"/>
      <c r="J25" s="811">
        <f t="shared" si="0"/>
        <v>0</v>
      </c>
      <c r="K25" s="802">
        <f t="shared" si="1"/>
        <v>0</v>
      </c>
    </row>
    <row r="26" spans="1:14" ht="18" customHeight="1">
      <c r="A26" s="1008">
        <v>100</v>
      </c>
      <c r="B26" s="1008">
        <v>900</v>
      </c>
      <c r="C26" s="1008">
        <v>52023</v>
      </c>
      <c r="D26" s="958" t="s">
        <v>255</v>
      </c>
      <c r="E26" s="802">
        <v>0</v>
      </c>
      <c r="F26" s="802">
        <v>1048</v>
      </c>
      <c r="G26" s="802">
        <v>500</v>
      </c>
      <c r="H26" s="1015">
        <v>500</v>
      </c>
      <c r="I26" s="756"/>
      <c r="J26" s="802">
        <f t="shared" si="0"/>
        <v>0</v>
      </c>
      <c r="K26" s="802">
        <f t="shared" si="1"/>
        <v>0</v>
      </c>
    </row>
    <row r="27" spans="1:14" ht="18" customHeight="1">
      <c r="A27" s="1008">
        <v>100</v>
      </c>
      <c r="B27" s="1008">
        <v>900</v>
      </c>
      <c r="C27" s="1008">
        <v>52024</v>
      </c>
      <c r="D27" s="561" t="s">
        <v>66</v>
      </c>
      <c r="E27" s="802">
        <v>490</v>
      </c>
      <c r="F27" s="802">
        <v>705</v>
      </c>
      <c r="G27" s="811">
        <v>800</v>
      </c>
      <c r="H27" s="1015">
        <v>800</v>
      </c>
      <c r="I27" s="756"/>
      <c r="J27" s="811">
        <f t="shared" si="0"/>
        <v>0</v>
      </c>
      <c r="K27" s="802">
        <f t="shared" si="1"/>
        <v>0</v>
      </c>
    </row>
    <row r="28" spans="1:14" ht="18" customHeight="1">
      <c r="A28" s="1008">
        <v>100</v>
      </c>
      <c r="B28" s="1008">
        <v>900</v>
      </c>
      <c r="C28" s="1008">
        <v>52025</v>
      </c>
      <c r="D28" s="958" t="s">
        <v>158</v>
      </c>
      <c r="E28" s="802">
        <v>0</v>
      </c>
      <c r="F28" s="802">
        <v>1130</v>
      </c>
      <c r="G28" s="802">
        <v>1200</v>
      </c>
      <c r="H28" s="1015">
        <v>1200</v>
      </c>
      <c r="I28" s="756"/>
      <c r="J28" s="802">
        <f t="shared" si="0"/>
        <v>0</v>
      </c>
      <c r="K28" s="802">
        <f t="shared" si="1"/>
        <v>0</v>
      </c>
      <c r="L28" s="542"/>
      <c r="M28" s="542"/>
      <c r="N28" s="542"/>
    </row>
    <row r="29" spans="1:14" ht="18" customHeight="1">
      <c r="A29" s="1008">
        <v>100</v>
      </c>
      <c r="B29" s="1008">
        <v>900</v>
      </c>
      <c r="C29" s="1008">
        <v>52030</v>
      </c>
      <c r="D29" s="561" t="s">
        <v>23</v>
      </c>
      <c r="E29" s="802">
        <v>7591</v>
      </c>
      <c r="F29" s="802">
        <v>4249</v>
      </c>
      <c r="G29" s="811">
        <v>2500</v>
      </c>
      <c r="H29" s="1015">
        <v>2500</v>
      </c>
      <c r="I29" s="756"/>
      <c r="J29" s="811">
        <f t="shared" si="0"/>
        <v>0</v>
      </c>
      <c r="K29" s="802">
        <f t="shared" si="1"/>
        <v>0</v>
      </c>
    </row>
    <row r="30" spans="1:14" ht="18" customHeight="1">
      <c r="A30" s="1008">
        <v>100</v>
      </c>
      <c r="B30" s="1008">
        <v>900</v>
      </c>
      <c r="C30" s="1008">
        <v>52031</v>
      </c>
      <c r="D30" s="561" t="s">
        <v>570</v>
      </c>
      <c r="E30" s="802">
        <v>0</v>
      </c>
      <c r="F30" s="802">
        <v>4655</v>
      </c>
      <c r="G30" s="811">
        <v>0</v>
      </c>
      <c r="H30" s="1015">
        <v>0</v>
      </c>
      <c r="I30" s="756"/>
      <c r="J30" s="811">
        <f t="shared" si="0"/>
        <v>0</v>
      </c>
      <c r="K30" s="802">
        <f t="shared" si="1"/>
        <v>0</v>
      </c>
    </row>
    <row r="31" spans="1:14" ht="18" customHeight="1">
      <c r="A31" s="1008">
        <v>100</v>
      </c>
      <c r="B31" s="1008">
        <v>900</v>
      </c>
      <c r="C31" s="1008">
        <v>52101</v>
      </c>
      <c r="D31" s="561" t="s">
        <v>175</v>
      </c>
      <c r="E31" s="802">
        <v>280</v>
      </c>
      <c r="F31" s="802">
        <v>169</v>
      </c>
      <c r="G31" s="811">
        <v>750</v>
      </c>
      <c r="H31" s="1015">
        <v>750</v>
      </c>
      <c r="I31" s="756"/>
      <c r="J31" s="811">
        <f t="shared" si="0"/>
        <v>0</v>
      </c>
      <c r="K31" s="802">
        <f t="shared" si="1"/>
        <v>0</v>
      </c>
      <c r="L31" s="542"/>
      <c r="M31" s="542"/>
      <c r="N31" s="542"/>
    </row>
    <row r="32" spans="1:14" ht="18" customHeight="1">
      <c r="D32" s="561" t="s">
        <v>139</v>
      </c>
      <c r="E32" s="802">
        <v>0</v>
      </c>
      <c r="F32" s="802">
        <v>0</v>
      </c>
      <c r="G32" s="811">
        <v>0</v>
      </c>
      <c r="H32" s="1015">
        <v>0</v>
      </c>
      <c r="I32" s="756"/>
      <c r="J32" s="811">
        <f t="shared" si="0"/>
        <v>0</v>
      </c>
      <c r="K32" s="802">
        <f t="shared" si="1"/>
        <v>0</v>
      </c>
      <c r="L32" s="542"/>
      <c r="M32" s="542"/>
      <c r="N32" s="542"/>
    </row>
    <row r="33" spans="1:14" ht="18" customHeight="1">
      <c r="A33" s="1008">
        <v>100</v>
      </c>
      <c r="B33" s="1008">
        <v>900</v>
      </c>
      <c r="C33" s="1008">
        <v>52102</v>
      </c>
      <c r="D33" s="561" t="s">
        <v>59</v>
      </c>
      <c r="E33" s="802">
        <v>4645</v>
      </c>
      <c r="F33" s="802">
        <v>4407</v>
      </c>
      <c r="G33" s="811">
        <v>5250</v>
      </c>
      <c r="H33" s="1015">
        <v>5250</v>
      </c>
      <c r="I33" s="756"/>
      <c r="J33" s="811">
        <f t="shared" si="0"/>
        <v>0</v>
      </c>
      <c r="K33" s="802">
        <f t="shared" si="1"/>
        <v>0</v>
      </c>
      <c r="L33" s="542"/>
      <c r="M33" s="542"/>
      <c r="N33" s="542"/>
    </row>
    <row r="34" spans="1:14" ht="18" customHeight="1">
      <c r="A34" s="1008">
        <v>100</v>
      </c>
      <c r="B34" s="1008">
        <v>900</v>
      </c>
      <c r="C34" s="1008">
        <v>52103</v>
      </c>
      <c r="D34" s="561" t="s">
        <v>62</v>
      </c>
      <c r="E34" s="802">
        <v>6226</v>
      </c>
      <c r="F34" s="802">
        <v>6767</v>
      </c>
      <c r="G34" s="811">
        <v>6150</v>
      </c>
      <c r="H34" s="1015">
        <v>6150</v>
      </c>
      <c r="I34" s="756"/>
      <c r="J34" s="811">
        <f t="shared" si="0"/>
        <v>0</v>
      </c>
      <c r="K34" s="802">
        <f t="shared" si="1"/>
        <v>0</v>
      </c>
    </row>
    <row r="35" spans="1:14" ht="18" customHeight="1">
      <c r="A35" s="1008">
        <v>100</v>
      </c>
      <c r="B35" s="1008">
        <v>900</v>
      </c>
      <c r="C35" s="1008">
        <v>52108</v>
      </c>
      <c r="D35" s="561" t="s">
        <v>37</v>
      </c>
      <c r="E35" s="802">
        <v>1538</v>
      </c>
      <c r="F35" s="802">
        <v>3133</v>
      </c>
      <c r="G35" s="811">
        <v>2500</v>
      </c>
      <c r="H35" s="1015">
        <v>2500</v>
      </c>
      <c r="I35" s="756"/>
      <c r="J35" s="811">
        <f t="shared" si="0"/>
        <v>0</v>
      </c>
      <c r="K35" s="802">
        <f t="shared" si="1"/>
        <v>0</v>
      </c>
      <c r="L35" s="542"/>
      <c r="M35" s="542"/>
    </row>
    <row r="36" spans="1:14" ht="18" customHeight="1">
      <c r="A36" s="1008">
        <v>100</v>
      </c>
      <c r="B36" s="1008">
        <v>900</v>
      </c>
      <c r="C36" s="1008">
        <v>52109</v>
      </c>
      <c r="D36" s="561" t="s">
        <v>151</v>
      </c>
      <c r="E36" s="812">
        <v>23200</v>
      </c>
      <c r="F36" s="812">
        <v>11860</v>
      </c>
      <c r="G36" s="812">
        <v>22200</v>
      </c>
      <c r="H36" s="1015">
        <v>22200</v>
      </c>
      <c r="I36" s="756"/>
      <c r="J36" s="812">
        <f t="shared" si="0"/>
        <v>0</v>
      </c>
      <c r="K36" s="812">
        <f t="shared" si="1"/>
        <v>0</v>
      </c>
      <c r="L36" s="542"/>
      <c r="M36" s="542"/>
    </row>
    <row r="37" spans="1:14" s="810" customFormat="1" ht="18" customHeight="1">
      <c r="A37" s="1008">
        <v>100</v>
      </c>
      <c r="B37" s="1008">
        <v>900</v>
      </c>
      <c r="C37" s="1008">
        <v>52110</v>
      </c>
      <c r="D37" s="561" t="s">
        <v>41</v>
      </c>
      <c r="E37" s="811">
        <v>4668</v>
      </c>
      <c r="F37" s="811">
        <v>4729</v>
      </c>
      <c r="G37" s="811">
        <v>4600</v>
      </c>
      <c r="H37" s="1015">
        <v>4600</v>
      </c>
      <c r="I37" s="756"/>
      <c r="J37" s="811">
        <f t="shared" si="0"/>
        <v>0</v>
      </c>
      <c r="K37" s="802">
        <f t="shared" si="1"/>
        <v>0</v>
      </c>
      <c r="L37" s="542"/>
      <c r="M37" s="542"/>
    </row>
    <row r="38" spans="1:14" ht="18" customHeight="1">
      <c r="A38" s="1008">
        <v>100</v>
      </c>
      <c r="B38" s="1008">
        <v>900</v>
      </c>
      <c r="C38" s="1008">
        <v>52111</v>
      </c>
      <c r="D38" s="561" t="s">
        <v>63</v>
      </c>
      <c r="E38" s="802">
        <v>2587</v>
      </c>
      <c r="F38" s="802">
        <v>0</v>
      </c>
      <c r="G38" s="811">
        <v>1000</v>
      </c>
      <c r="H38" s="1015">
        <v>1000</v>
      </c>
      <c r="I38" s="756"/>
      <c r="J38" s="811">
        <f t="shared" si="0"/>
        <v>0</v>
      </c>
      <c r="K38" s="802">
        <f t="shared" si="1"/>
        <v>0</v>
      </c>
      <c r="L38" s="542"/>
      <c r="M38" s="542"/>
      <c r="N38" s="542"/>
    </row>
    <row r="39" spans="1:14" ht="18" hidden="1" customHeight="1">
      <c r="D39" s="561" t="s">
        <v>67</v>
      </c>
      <c r="E39" s="802">
        <v>0</v>
      </c>
      <c r="F39" s="802">
        <v>0</v>
      </c>
      <c r="G39" s="811">
        <v>0</v>
      </c>
      <c r="H39" s="1015">
        <v>0</v>
      </c>
      <c r="I39" s="756"/>
      <c r="J39" s="811">
        <f t="shared" si="0"/>
        <v>0</v>
      </c>
      <c r="K39" s="802">
        <f t="shared" si="1"/>
        <v>0</v>
      </c>
      <c r="L39" s="542"/>
      <c r="M39" s="542"/>
      <c r="N39" s="542"/>
    </row>
    <row r="40" spans="1:14" ht="18" customHeight="1">
      <c r="A40" s="1008">
        <v>100</v>
      </c>
      <c r="B40" s="1008">
        <v>900</v>
      </c>
      <c r="C40" s="1008">
        <v>52113</v>
      </c>
      <c r="D40" s="561" t="s">
        <v>60</v>
      </c>
      <c r="E40" s="802">
        <v>0</v>
      </c>
      <c r="F40" s="802">
        <v>0</v>
      </c>
      <c r="G40" s="811">
        <v>1000</v>
      </c>
      <c r="H40" s="1015">
        <v>1000</v>
      </c>
      <c r="I40" s="756"/>
      <c r="J40" s="811">
        <f t="shared" si="0"/>
        <v>0</v>
      </c>
      <c r="K40" s="802">
        <f t="shared" si="1"/>
        <v>0</v>
      </c>
      <c r="L40" s="542"/>
      <c r="M40" s="542"/>
      <c r="N40" s="542"/>
    </row>
    <row r="41" spans="1:14" ht="18" customHeight="1">
      <c r="A41" s="1008">
        <v>100</v>
      </c>
      <c r="B41" s="1008">
        <v>900</v>
      </c>
      <c r="C41" s="1008">
        <v>52114</v>
      </c>
      <c r="D41" s="561" t="s">
        <v>470</v>
      </c>
      <c r="E41" s="802">
        <v>2333</v>
      </c>
      <c r="F41" s="802">
        <v>5578</v>
      </c>
      <c r="G41" s="811">
        <v>4824</v>
      </c>
      <c r="H41" s="1015">
        <f>'CIP_Rec Costs'!E46</f>
        <v>4824</v>
      </c>
      <c r="I41" s="756"/>
      <c r="J41" s="811">
        <f t="shared" si="0"/>
        <v>0</v>
      </c>
      <c r="K41" s="802">
        <f t="shared" si="1"/>
        <v>0</v>
      </c>
      <c r="L41" s="542"/>
      <c r="M41" s="542"/>
      <c r="N41" s="542"/>
    </row>
    <row r="42" spans="1:14" ht="18" customHeight="1">
      <c r="A42" s="1008">
        <v>100</v>
      </c>
      <c r="B42" s="1008">
        <v>900</v>
      </c>
      <c r="C42" s="1008">
        <v>52115</v>
      </c>
      <c r="D42" s="561" t="s">
        <v>494</v>
      </c>
      <c r="E42" s="802">
        <v>0</v>
      </c>
      <c r="F42" s="802">
        <v>0</v>
      </c>
      <c r="G42" s="811">
        <v>12000</v>
      </c>
      <c r="H42" s="1015">
        <v>12000</v>
      </c>
      <c r="I42" s="756"/>
      <c r="J42" s="811">
        <f t="shared" si="0"/>
        <v>0</v>
      </c>
      <c r="K42" s="802">
        <f t="shared" si="1"/>
        <v>0</v>
      </c>
      <c r="L42" s="542"/>
      <c r="M42" s="542"/>
      <c r="N42" s="542"/>
    </row>
    <row r="43" spans="1:14" ht="18" customHeight="1">
      <c r="A43" s="1008">
        <v>100</v>
      </c>
      <c r="B43" s="1008">
        <v>900</v>
      </c>
      <c r="C43" s="1008">
        <v>52199</v>
      </c>
      <c r="D43" s="561" t="s">
        <v>487</v>
      </c>
      <c r="E43" s="802">
        <v>5809</v>
      </c>
      <c r="F43" s="802">
        <v>7853</v>
      </c>
      <c r="G43" s="811">
        <v>9000</v>
      </c>
      <c r="H43" s="1015">
        <v>9000</v>
      </c>
      <c r="I43" s="756"/>
      <c r="J43" s="811">
        <f t="shared" si="0"/>
        <v>0</v>
      </c>
      <c r="K43" s="802">
        <f t="shared" si="1"/>
        <v>0</v>
      </c>
      <c r="L43" s="542"/>
      <c r="M43" s="542"/>
      <c r="N43" s="542"/>
    </row>
    <row r="44" spans="1:14" s="810" customFormat="1" ht="18" customHeight="1">
      <c r="A44" s="1008">
        <v>100</v>
      </c>
      <c r="B44" s="1008">
        <v>900</v>
      </c>
      <c r="C44" s="1008">
        <v>52800</v>
      </c>
      <c r="D44" s="561" t="s">
        <v>540</v>
      </c>
      <c r="E44" s="814">
        <v>0</v>
      </c>
      <c r="F44" s="814">
        <v>6570</v>
      </c>
      <c r="G44" s="812">
        <v>0</v>
      </c>
      <c r="H44" s="1025">
        <v>0</v>
      </c>
      <c r="I44" s="722"/>
      <c r="J44" s="812">
        <f t="shared" ref="J44" si="4">IF($M$2="Yes",H44,0)</f>
        <v>0</v>
      </c>
      <c r="K44" s="814">
        <f t="shared" ref="K44" si="5">IF($N$2="Yes",J44,0)</f>
        <v>0</v>
      </c>
      <c r="L44" s="542"/>
      <c r="M44" s="542"/>
      <c r="N44" s="542"/>
    </row>
    <row r="45" spans="1:14" ht="18" customHeight="1">
      <c r="A45" s="1008">
        <v>100</v>
      </c>
      <c r="B45" s="1008">
        <v>900</v>
      </c>
      <c r="C45" s="1008">
        <v>52900</v>
      </c>
      <c r="D45" s="561" t="s">
        <v>571</v>
      </c>
      <c r="E45" s="816">
        <v>0</v>
      </c>
      <c r="F45" s="816">
        <v>40920</v>
      </c>
      <c r="G45" s="813">
        <v>0</v>
      </c>
      <c r="H45" s="1015">
        <v>0</v>
      </c>
      <c r="I45" s="756"/>
      <c r="J45" s="813">
        <f t="shared" si="0"/>
        <v>0</v>
      </c>
      <c r="K45" s="816">
        <f t="shared" si="1"/>
        <v>0</v>
      </c>
      <c r="L45" s="542"/>
      <c r="M45" s="542"/>
      <c r="N45" s="542"/>
    </row>
    <row r="46" spans="1:14" ht="18.75">
      <c r="D46" s="561" t="s">
        <v>68</v>
      </c>
      <c r="E46" s="805">
        <f>SUM(E12:E45)</f>
        <v>160794</v>
      </c>
      <c r="F46" s="805">
        <f>SUM(F12:F45)</f>
        <v>282003</v>
      </c>
      <c r="G46" s="727">
        <f>SUM(G12:G45)</f>
        <v>148674</v>
      </c>
      <c r="H46" s="727">
        <f>SUM(H12:H45)</f>
        <v>168674</v>
      </c>
      <c r="I46" s="755"/>
      <c r="J46" s="727">
        <f>SUM(J12:J45)</f>
        <v>0</v>
      </c>
      <c r="K46" s="727">
        <f>SUM(K12:K45)</f>
        <v>0</v>
      </c>
    </row>
    <row r="47" spans="1:14">
      <c r="D47" s="561"/>
      <c r="E47" s="802"/>
      <c r="F47" s="802"/>
      <c r="G47" s="802"/>
      <c r="H47" s="802"/>
      <c r="I47" s="755"/>
      <c r="J47" s="802"/>
      <c r="K47" s="802"/>
    </row>
    <row r="48" spans="1:14" ht="18.75">
      <c r="D48" s="4" t="s">
        <v>69</v>
      </c>
      <c r="E48" s="802"/>
      <c r="F48" s="802"/>
      <c r="G48" s="802"/>
      <c r="H48" s="802"/>
      <c r="I48" s="755"/>
      <c r="J48" s="802"/>
      <c r="K48" s="802"/>
    </row>
    <row r="49" spans="1:13">
      <c r="A49" s="1008">
        <v>100</v>
      </c>
      <c r="B49" s="1008">
        <v>900</v>
      </c>
      <c r="C49" s="1010">
        <v>53003</v>
      </c>
      <c r="D49" s="561" t="s">
        <v>156</v>
      </c>
      <c r="E49" s="802">
        <v>0</v>
      </c>
      <c r="F49" s="802">
        <v>145</v>
      </c>
      <c r="G49" s="802">
        <v>10000</v>
      </c>
      <c r="H49" s="802">
        <v>0</v>
      </c>
      <c r="I49" s="755"/>
      <c r="J49" s="811">
        <f t="shared" ref="J49" si="6">IF($M$2="Yes",H49,0)</f>
        <v>0</v>
      </c>
      <c r="K49" s="802">
        <f>IF($N$2="Yes",J49,0)</f>
        <v>0</v>
      </c>
    </row>
    <row r="50" spans="1:13" s="810" customFormat="1">
      <c r="A50" s="1008"/>
      <c r="B50" s="1008"/>
      <c r="C50" s="1008"/>
      <c r="D50" s="561" t="s">
        <v>70</v>
      </c>
      <c r="E50" s="802">
        <v>29081</v>
      </c>
      <c r="F50" s="802">
        <v>17457</v>
      </c>
      <c r="G50" s="802">
        <v>0</v>
      </c>
      <c r="H50" s="802">
        <v>15000</v>
      </c>
      <c r="I50" s="755"/>
      <c r="J50" s="802">
        <f t="shared" ref="J50" si="7">IF(M39="Yes",H50,0)</f>
        <v>0</v>
      </c>
      <c r="K50" s="802">
        <f t="shared" ref="K50" si="8">IF(N39="Yes",J50,0)</f>
        <v>0</v>
      </c>
    </row>
    <row r="51" spans="1:13" s="810" customFormat="1">
      <c r="A51" s="1008"/>
      <c r="B51" s="1008"/>
      <c r="C51" s="1008"/>
      <c r="D51" s="561" t="s">
        <v>572</v>
      </c>
      <c r="E51" s="802">
        <v>0</v>
      </c>
      <c r="F51" s="802">
        <v>0</v>
      </c>
      <c r="G51" s="802">
        <v>0</v>
      </c>
      <c r="H51" s="802">
        <v>25000</v>
      </c>
      <c r="I51" s="755"/>
      <c r="J51" s="802"/>
      <c r="K51" s="802"/>
    </row>
    <row r="52" spans="1:13">
      <c r="A52" s="1008">
        <v>100</v>
      </c>
      <c r="B52" s="1008">
        <v>900</v>
      </c>
      <c r="C52" s="1008">
        <v>53004</v>
      </c>
      <c r="D52" s="561" t="s">
        <v>512</v>
      </c>
      <c r="E52" s="802">
        <v>743395</v>
      </c>
      <c r="F52" s="802">
        <v>0</v>
      </c>
      <c r="G52" s="802">
        <v>0</v>
      </c>
      <c r="H52" s="802">
        <v>700000</v>
      </c>
      <c r="I52" s="755"/>
      <c r="J52" s="811">
        <f t="shared" ref="J52" si="9">IF($M$2="Yes",H52,0)</f>
        <v>0</v>
      </c>
      <c r="K52" s="811">
        <f>IF($N$2="Yes",J52,0)</f>
        <v>0</v>
      </c>
      <c r="L52" s="810"/>
      <c r="M52" s="551" t="s">
        <v>573</v>
      </c>
    </row>
    <row r="53" spans="1:13" ht="15.75">
      <c r="D53" s="4" t="s">
        <v>55</v>
      </c>
      <c r="E53" s="562">
        <f>SUM(E49:E52)</f>
        <v>772476</v>
      </c>
      <c r="F53" s="562">
        <f t="shared" ref="F53:H53" si="10">SUM(F49:F52)</f>
        <v>17602</v>
      </c>
      <c r="G53" s="562">
        <f t="shared" si="10"/>
        <v>10000</v>
      </c>
      <c r="H53" s="562">
        <f t="shared" si="10"/>
        <v>740000</v>
      </c>
      <c r="I53" s="802"/>
      <c r="J53" s="562">
        <f t="shared" ref="J53:K53" si="11">SUM(J49:J52)</f>
        <v>0</v>
      </c>
      <c r="K53" s="562">
        <f t="shared" si="11"/>
        <v>0</v>
      </c>
    </row>
    <row r="54" spans="1:13" ht="18.75">
      <c r="D54" s="4"/>
      <c r="E54" s="802"/>
      <c r="F54" s="802"/>
      <c r="G54" s="802"/>
      <c r="H54" s="802"/>
      <c r="I54" s="756"/>
      <c r="J54" s="802"/>
      <c r="K54" s="802"/>
      <c r="L54" s="542"/>
      <c r="M54" s="542"/>
    </row>
    <row r="55" spans="1:13" s="1" customFormat="1" ht="15.75">
      <c r="A55" s="1008"/>
      <c r="B55" s="1008"/>
      <c r="C55" s="1008"/>
      <c r="D55" s="421" t="s">
        <v>134</v>
      </c>
      <c r="E55" s="418"/>
      <c r="F55" s="753"/>
      <c r="G55" s="753"/>
      <c r="H55" s="802"/>
      <c r="I55" s="753"/>
      <c r="J55" s="753"/>
      <c r="K55" s="753"/>
    </row>
    <row r="56" spans="1:13" s="778" customFormat="1" ht="15">
      <c r="A56" s="1008">
        <v>100</v>
      </c>
      <c r="B56" s="1008">
        <v>900</v>
      </c>
      <c r="C56" s="1008">
        <v>55500</v>
      </c>
      <c r="D56" s="806" t="s">
        <v>496</v>
      </c>
      <c r="E56" s="418">
        <v>0</v>
      </c>
      <c r="F56" s="418">
        <v>9577</v>
      </c>
      <c r="G56" s="418">
        <v>9577</v>
      </c>
      <c r="H56" s="802">
        <f>ROUND((47883.42*0.2),0)</f>
        <v>9577</v>
      </c>
      <c r="I56" s="753"/>
      <c r="J56" s="802">
        <f t="shared" ref="J56:J57" si="12">IF($M$2="Yes",H56,0)</f>
        <v>0</v>
      </c>
      <c r="K56" s="753">
        <f t="shared" ref="K56:K57" si="13">IF($N$2="Yes",J56,0)</f>
        <v>0</v>
      </c>
    </row>
    <row r="57" spans="1:13" s="778" customFormat="1" ht="15">
      <c r="A57" s="1008">
        <v>100</v>
      </c>
      <c r="B57" s="1008">
        <v>900</v>
      </c>
      <c r="C57" s="1008">
        <v>55530</v>
      </c>
      <c r="D57" s="806" t="s">
        <v>497</v>
      </c>
      <c r="E57" s="539">
        <v>0</v>
      </c>
      <c r="F57" s="539">
        <v>38307</v>
      </c>
      <c r="G57" s="539">
        <v>38307</v>
      </c>
      <c r="H57" s="816">
        <f>ROUND((47883.42*0.8),0)</f>
        <v>38307</v>
      </c>
      <c r="I57" s="753"/>
      <c r="J57" s="816">
        <f t="shared" si="12"/>
        <v>0</v>
      </c>
      <c r="K57" s="650">
        <f t="shared" si="13"/>
        <v>0</v>
      </c>
    </row>
    <row r="58" spans="1:13" s="1" customFormat="1" ht="15" hidden="1">
      <c r="A58" s="1008"/>
      <c r="B58" s="1008"/>
      <c r="C58" s="1008"/>
      <c r="D58" s="806" t="s">
        <v>111</v>
      </c>
      <c r="E58" s="418">
        <v>0</v>
      </c>
      <c r="F58" s="418">
        <v>0</v>
      </c>
      <c r="G58" s="418">
        <v>0</v>
      </c>
      <c r="H58" s="418">
        <v>0</v>
      </c>
      <c r="I58" s="753"/>
      <c r="J58" s="802">
        <f t="shared" ref="J58:J59" si="14">IF($M$2="Yes",H58,0)</f>
        <v>0</v>
      </c>
      <c r="K58" s="753">
        <f t="shared" ref="K58:K59" si="15">IF($N$2="Yes",J58,0)</f>
        <v>0</v>
      </c>
    </row>
    <row r="59" spans="1:13" s="1" customFormat="1" hidden="1">
      <c r="A59" s="1008">
        <v>100</v>
      </c>
      <c r="B59" s="1008">
        <v>900</v>
      </c>
      <c r="C59" s="1008">
        <v>55600</v>
      </c>
      <c r="D59" s="806" t="s">
        <v>421</v>
      </c>
      <c r="E59" s="539">
        <v>0</v>
      </c>
      <c r="F59" s="539">
        <v>0</v>
      </c>
      <c r="G59" s="539">
        <v>0</v>
      </c>
      <c r="H59" s="539">
        <v>0</v>
      </c>
      <c r="I59" s="760"/>
      <c r="J59" s="539">
        <f t="shared" si="14"/>
        <v>0</v>
      </c>
      <c r="K59" s="539">
        <f t="shared" si="15"/>
        <v>0</v>
      </c>
    </row>
    <row r="60" spans="1:13" s="3" customFormat="1" ht="18.75">
      <c r="A60" s="1008"/>
      <c r="B60" s="1008"/>
      <c r="C60" s="1008"/>
      <c r="D60" s="421" t="s">
        <v>25</v>
      </c>
      <c r="E60" s="499">
        <f>SUM(E56:E59)</f>
        <v>0</v>
      </c>
      <c r="F60" s="499">
        <f t="shared" ref="F60:H60" si="16">SUM(F56:F59)</f>
        <v>47884</v>
      </c>
      <c r="G60" s="499">
        <f t="shared" si="16"/>
        <v>47884</v>
      </c>
      <c r="H60" s="499">
        <f t="shared" si="16"/>
        <v>47884</v>
      </c>
      <c r="I60" s="644"/>
      <c r="J60" s="499">
        <f t="shared" ref="J60:K60" si="17">SUM(J56:J59)</f>
        <v>0</v>
      </c>
      <c r="K60" s="499">
        <f t="shared" si="17"/>
        <v>0</v>
      </c>
    </row>
    <row r="61" spans="1:13" s="3" customFormat="1" ht="18.75">
      <c r="A61" s="1008"/>
      <c r="B61" s="1008"/>
      <c r="C61" s="1008"/>
      <c r="D61" s="421"/>
      <c r="E61" s="499"/>
      <c r="F61" s="499"/>
      <c r="G61" s="499"/>
      <c r="H61" s="499"/>
      <c r="I61" s="644"/>
      <c r="J61" s="499"/>
      <c r="K61" s="499"/>
    </row>
    <row r="62" spans="1:13" s="3" customFormat="1" ht="18.75">
      <c r="A62" s="1008"/>
      <c r="B62" s="1008"/>
      <c r="C62" s="1008"/>
      <c r="D62" s="421" t="s">
        <v>123</v>
      </c>
      <c r="E62" s="499"/>
      <c r="F62" s="499"/>
      <c r="G62" s="499"/>
      <c r="H62" s="499"/>
      <c r="I62" s="644"/>
      <c r="J62" s="499"/>
      <c r="K62" s="499"/>
    </row>
    <row r="63" spans="1:13" s="1" customFormat="1">
      <c r="A63" s="1008">
        <v>100</v>
      </c>
      <c r="B63" s="1008">
        <v>900</v>
      </c>
      <c r="C63" s="1008">
        <v>54006</v>
      </c>
      <c r="D63" s="806" t="s">
        <v>386</v>
      </c>
      <c r="E63" s="539">
        <v>22254</v>
      </c>
      <c r="F63" s="539">
        <v>22254</v>
      </c>
      <c r="G63" s="539">
        <v>22254</v>
      </c>
      <c r="H63" s="539">
        <f>ROUND(('GF-Debt Svc'!G11),0)</f>
        <v>22254</v>
      </c>
      <c r="I63" s="760"/>
      <c r="J63" s="816">
        <f t="shared" ref="J63" si="18">IF($M$2="Yes",H63,0)</f>
        <v>0</v>
      </c>
      <c r="K63" s="650">
        <f>IF($N$2="Yes",J63,0)</f>
        <v>0</v>
      </c>
      <c r="L63" s="778"/>
    </row>
    <row r="64" spans="1:13" s="3" customFormat="1" ht="18.75">
      <c r="A64" s="1008"/>
      <c r="B64" s="1008"/>
      <c r="C64" s="1008"/>
      <c r="D64" s="421" t="s">
        <v>125</v>
      </c>
      <c r="E64" s="975">
        <f>SUM(E63)</f>
        <v>22254</v>
      </c>
      <c r="F64" s="975">
        <f t="shared" ref="F64:H64" si="19">SUM(F63)</f>
        <v>22254</v>
      </c>
      <c r="G64" s="975">
        <f t="shared" si="19"/>
        <v>22254</v>
      </c>
      <c r="H64" s="975">
        <f t="shared" si="19"/>
        <v>22254</v>
      </c>
      <c r="I64" s="644"/>
      <c r="J64" s="975">
        <f t="shared" ref="J64:K64" si="20">SUM(J63)</f>
        <v>0</v>
      </c>
      <c r="K64" s="975">
        <f t="shared" si="20"/>
        <v>0</v>
      </c>
    </row>
    <row r="65" spans="1:13" s="1" customFormat="1" ht="18.75" thickBot="1">
      <c r="A65" s="1008"/>
      <c r="B65" s="1008"/>
      <c r="C65" s="1008"/>
      <c r="D65" s="806"/>
      <c r="E65" s="563"/>
      <c r="F65" s="563"/>
      <c r="G65" s="563"/>
      <c r="H65" s="563"/>
      <c r="I65" s="760"/>
      <c r="J65" s="563"/>
      <c r="K65" s="563"/>
    </row>
    <row r="66" spans="1:13" s="1" customFormat="1" ht="15.75" hidden="1">
      <c r="A66" s="1008"/>
      <c r="B66" s="1008"/>
      <c r="C66" s="1008"/>
      <c r="D66" s="421" t="s">
        <v>364</v>
      </c>
      <c r="E66" s="418"/>
      <c r="F66" s="753"/>
      <c r="G66" s="753"/>
      <c r="H66" s="802"/>
      <c r="I66" s="753"/>
      <c r="J66" s="753"/>
      <c r="K66" s="753"/>
    </row>
    <row r="67" spans="1:13" s="1" customFormat="1" ht="15" hidden="1">
      <c r="A67" s="1008"/>
      <c r="B67" s="1008"/>
      <c r="C67" s="1008"/>
      <c r="D67" s="806" t="s">
        <v>371</v>
      </c>
      <c r="E67" s="418">
        <v>0</v>
      </c>
      <c r="F67" s="418">
        <v>0</v>
      </c>
      <c r="G67" s="418">
        <v>0</v>
      </c>
      <c r="H67" s="418">
        <v>0</v>
      </c>
      <c r="I67" s="753"/>
      <c r="J67" s="802">
        <f t="shared" ref="J67:J68" si="21">IF($M$2="Yes",H67,0)</f>
        <v>0</v>
      </c>
      <c r="K67" s="753">
        <v>0</v>
      </c>
    </row>
    <row r="68" spans="1:13" s="1" customFormat="1" hidden="1">
      <c r="A68" s="1008"/>
      <c r="B68" s="1008"/>
      <c r="C68" s="1008"/>
      <c r="D68" s="806" t="s">
        <v>173</v>
      </c>
      <c r="E68" s="539">
        <v>0</v>
      </c>
      <c r="F68" s="539">
        <v>0</v>
      </c>
      <c r="G68" s="539">
        <v>0</v>
      </c>
      <c r="H68" s="539">
        <v>0</v>
      </c>
      <c r="I68" s="760"/>
      <c r="J68" s="539">
        <f t="shared" si="21"/>
        <v>0</v>
      </c>
      <c r="K68" s="539">
        <v>0</v>
      </c>
    </row>
    <row r="69" spans="1:13" s="1" customFormat="1" ht="15.75" hidden="1">
      <c r="A69" s="1008"/>
      <c r="B69" s="1008"/>
      <c r="C69" s="1008"/>
      <c r="D69" s="421" t="s">
        <v>55</v>
      </c>
      <c r="E69" s="749">
        <f t="shared" ref="E69:G69" si="22">SUM(E67:E68)</f>
        <v>0</v>
      </c>
      <c r="F69" s="749">
        <f t="shared" si="22"/>
        <v>0</v>
      </c>
      <c r="G69" s="749">
        <f t="shared" si="22"/>
        <v>0</v>
      </c>
      <c r="H69" s="749">
        <f>SUM(H67:H68)</f>
        <v>0</v>
      </c>
      <c r="I69" s="749"/>
      <c r="J69" s="749">
        <f t="shared" ref="J69:K69" si="23">SUM(J67:J68)</f>
        <v>0</v>
      </c>
      <c r="K69" s="749">
        <f t="shared" si="23"/>
        <v>0</v>
      </c>
    </row>
    <row r="70" spans="1:13" s="558" customFormat="1" ht="18.75" hidden="1" thickBot="1">
      <c r="A70" s="1008"/>
      <c r="B70" s="1008"/>
      <c r="C70" s="1008"/>
      <c r="D70" s="241"/>
      <c r="E70" s="802"/>
      <c r="F70" s="802"/>
      <c r="G70" s="802"/>
      <c r="H70" s="802"/>
      <c r="I70" s="564"/>
      <c r="J70" s="802"/>
      <c r="K70" s="802"/>
      <c r="L70" s="240"/>
    </row>
    <row r="71" spans="1:13" ht="19.5" thickTop="1">
      <c r="D71" s="4" t="s">
        <v>71</v>
      </c>
      <c r="E71" s="804">
        <f t="shared" ref="E71:G71" si="24">E46+E53+E60+E64</f>
        <v>955524</v>
      </c>
      <c r="F71" s="804">
        <f t="shared" si="24"/>
        <v>369743</v>
      </c>
      <c r="G71" s="804">
        <f t="shared" si="24"/>
        <v>228812</v>
      </c>
      <c r="H71" s="804">
        <f>H46+H53+H60+H64</f>
        <v>978812</v>
      </c>
      <c r="I71" s="756"/>
      <c r="J71" s="804">
        <f t="shared" ref="J71:K71" si="25">J46+J53+J60+J64</f>
        <v>0</v>
      </c>
      <c r="K71" s="804">
        <f t="shared" si="25"/>
        <v>0</v>
      </c>
      <c r="L71" s="542"/>
      <c r="M71" s="542"/>
    </row>
    <row r="72" spans="1:13" ht="18.75">
      <c r="D72" s="4"/>
      <c r="E72" s="805"/>
      <c r="F72" s="802"/>
      <c r="G72" s="805"/>
      <c r="H72" s="805"/>
      <c r="I72" s="756"/>
      <c r="J72" s="811"/>
      <c r="K72" s="811"/>
      <c r="L72" s="542"/>
      <c r="M72" s="542"/>
    </row>
    <row r="73" spans="1:13">
      <c r="D73" s="561" t="s">
        <v>519</v>
      </c>
      <c r="E73" s="813">
        <v>794730</v>
      </c>
      <c r="F73" s="813">
        <f>F53+F60+F64</f>
        <v>87740</v>
      </c>
      <c r="G73" s="813">
        <f t="shared" ref="G73:H73" si="26">G60+G64</f>
        <v>70138</v>
      </c>
      <c r="H73" s="813">
        <f t="shared" si="26"/>
        <v>70138</v>
      </c>
      <c r="I73" s="756"/>
      <c r="J73" s="813">
        <f t="shared" ref="J73:K73" si="27">J60+J64</f>
        <v>0</v>
      </c>
      <c r="K73" s="813">
        <f t="shared" si="27"/>
        <v>0</v>
      </c>
      <c r="L73" s="542"/>
      <c r="M73" s="542"/>
    </row>
    <row r="74" spans="1:13" s="25" customFormat="1" ht="18.75">
      <c r="A74" s="1008"/>
      <c r="B74" s="1008"/>
      <c r="C74" s="1008"/>
      <c r="D74" s="4" t="s">
        <v>434</v>
      </c>
      <c r="E74" s="784">
        <f>E71-E73</f>
        <v>160794</v>
      </c>
      <c r="F74" s="784">
        <f t="shared" ref="F74:H74" si="28">F71-F73</f>
        <v>282003</v>
      </c>
      <c r="G74" s="784">
        <f t="shared" si="28"/>
        <v>158674</v>
      </c>
      <c r="H74" s="784">
        <f t="shared" si="28"/>
        <v>908674</v>
      </c>
      <c r="I74" s="723"/>
      <c r="J74" s="784">
        <f t="shared" ref="J74:K74" si="29">J71-J73</f>
        <v>0</v>
      </c>
      <c r="K74" s="784">
        <f t="shared" si="29"/>
        <v>0</v>
      </c>
    </row>
    <row r="75" spans="1:13" ht="18.75">
      <c r="D75" s="4"/>
      <c r="E75" s="805"/>
      <c r="F75" s="802"/>
      <c r="G75" s="805"/>
      <c r="H75" s="805"/>
      <c r="I75" s="756"/>
      <c r="J75" s="811"/>
      <c r="K75" s="811"/>
      <c r="L75" s="542"/>
      <c r="M75" s="542"/>
    </row>
    <row r="76" spans="1:13" ht="15.75" customHeight="1">
      <c r="D76" s="1076"/>
      <c r="E76" s="1076"/>
      <c r="F76" s="1076"/>
      <c r="G76" s="1076"/>
      <c r="H76" s="1076"/>
      <c r="I76" s="1076"/>
      <c r="J76" s="1076"/>
      <c r="K76" s="1076"/>
      <c r="L76" s="542"/>
      <c r="M76" s="542"/>
    </row>
    <row r="77" spans="1:13" ht="33.75" customHeight="1">
      <c r="D77" s="1076" t="s">
        <v>574</v>
      </c>
      <c r="E77" s="1076"/>
      <c r="F77" s="1076"/>
      <c r="G77" s="1076"/>
      <c r="H77" s="1076"/>
      <c r="I77" s="1076"/>
      <c r="J77" s="1076"/>
      <c r="K77" s="1076"/>
      <c r="L77" s="542"/>
      <c r="M77" s="542"/>
    </row>
    <row r="78" spans="1:13" ht="18.75">
      <c r="D78" s="551"/>
      <c r="E78" s="582"/>
      <c r="F78" s="23"/>
      <c r="G78" s="582"/>
      <c r="H78" s="23"/>
      <c r="I78" s="721"/>
      <c r="J78" s="561"/>
      <c r="K78" s="724"/>
      <c r="L78" s="542"/>
      <c r="M78" s="542"/>
    </row>
    <row r="79" spans="1:13" ht="18.75">
      <c r="D79" s="561"/>
      <c r="E79" s="582"/>
      <c r="F79" s="23"/>
      <c r="G79" s="582"/>
      <c r="H79" s="23"/>
      <c r="I79" s="721"/>
      <c r="J79" s="561"/>
      <c r="K79" s="724"/>
      <c r="L79" s="542"/>
      <c r="M79" s="542"/>
    </row>
    <row r="80" spans="1:13" ht="18.75">
      <c r="E80" s="22"/>
      <c r="F80" s="21"/>
      <c r="G80" s="22"/>
      <c r="H80" s="23"/>
      <c r="I80" s="721"/>
      <c r="J80" s="561"/>
      <c r="K80" s="724"/>
      <c r="L80" s="542"/>
      <c r="M80" s="542"/>
    </row>
    <row r="81" spans="4:13" ht="18.75" hidden="1">
      <c r="E81" s="320">
        <v>0.08</v>
      </c>
      <c r="F81" s="320">
        <v>0.12</v>
      </c>
      <c r="G81" s="320">
        <v>0.32200000000000001</v>
      </c>
      <c r="H81" s="321">
        <v>0.47799999999999998</v>
      </c>
      <c r="I81" s="721"/>
      <c r="J81" s="561"/>
      <c r="K81" s="724"/>
      <c r="L81" s="542"/>
      <c r="M81" s="542"/>
    </row>
    <row r="82" spans="4:13" ht="18.75" hidden="1">
      <c r="E82" s="22">
        <f>SUM($J82*E81)</f>
        <v>2400</v>
      </c>
      <c r="F82" s="22">
        <f t="shared" ref="F82:H82" si="30">SUM($J82*F81)</f>
        <v>3600</v>
      </c>
      <c r="G82" s="22">
        <f t="shared" si="30"/>
        <v>9660</v>
      </c>
      <c r="H82" s="22">
        <f t="shared" si="30"/>
        <v>14340</v>
      </c>
      <c r="I82" s="721"/>
      <c r="J82" s="561">
        <v>30000</v>
      </c>
      <c r="K82" s="724"/>
      <c r="L82" s="542"/>
      <c r="M82" s="542"/>
    </row>
    <row r="83" spans="4:13" ht="18.75">
      <c r="E83" s="22"/>
      <c r="F83" s="23"/>
      <c r="G83" s="22"/>
      <c r="H83" s="23"/>
      <c r="I83" s="721"/>
      <c r="J83" s="561"/>
      <c r="K83" s="724"/>
      <c r="L83" s="542"/>
      <c r="M83" s="542"/>
    </row>
    <row r="84" spans="4:13" ht="18.75">
      <c r="E84" s="22"/>
      <c r="F84" s="23"/>
      <c r="G84" s="22"/>
      <c r="H84" s="23"/>
      <c r="I84" s="721"/>
      <c r="J84" s="561"/>
      <c r="K84" s="724"/>
      <c r="L84" s="542"/>
      <c r="M84" s="542"/>
    </row>
    <row r="85" spans="4:13">
      <c r="D85" s="554"/>
      <c r="E85" s="554"/>
      <c r="F85" s="566"/>
      <c r="G85" s="561"/>
      <c r="H85" s="566"/>
    </row>
    <row r="86" spans="4:13">
      <c r="D86" s="542"/>
      <c r="E86" s="554"/>
      <c r="F86" s="565"/>
      <c r="G86" s="554"/>
      <c r="H86" s="566"/>
    </row>
    <row r="87" spans="4:13">
      <c r="D87" s="542"/>
      <c r="E87" s="542"/>
      <c r="F87" s="565"/>
      <c r="G87" s="542"/>
      <c r="H87" s="566"/>
      <c r="I87" s="721"/>
      <c r="J87" s="561"/>
      <c r="K87" s="724"/>
      <c r="L87" s="542"/>
      <c r="M87" s="542"/>
    </row>
    <row r="88" spans="4:13">
      <c r="D88" s="542"/>
      <c r="E88" s="542"/>
      <c r="F88" s="565"/>
      <c r="G88" s="542"/>
      <c r="H88" s="566"/>
      <c r="I88" s="721"/>
      <c r="J88" s="561"/>
      <c r="K88" s="724"/>
      <c r="L88" s="542"/>
      <c r="M88" s="542"/>
    </row>
    <row r="89" spans="4:13">
      <c r="D89" s="542"/>
      <c r="E89" s="542"/>
      <c r="F89" s="565"/>
      <c r="G89" s="542"/>
      <c r="H89" s="566"/>
      <c r="I89" s="721"/>
      <c r="J89" s="561"/>
      <c r="K89" s="724"/>
      <c r="L89" s="542"/>
      <c r="M89" s="542"/>
    </row>
    <row r="90" spans="4:13">
      <c r="D90" s="542"/>
      <c r="E90" s="542"/>
      <c r="F90" s="565"/>
      <c r="G90" s="542"/>
      <c r="H90" s="566"/>
      <c r="I90" s="721"/>
      <c r="J90" s="561"/>
      <c r="K90" s="724"/>
      <c r="L90" s="542"/>
      <c r="M90" s="542"/>
    </row>
    <row r="91" spans="4:13">
      <c r="D91" s="542"/>
      <c r="E91" s="542"/>
      <c r="F91" s="565"/>
      <c r="G91" s="542"/>
      <c r="H91" s="566"/>
      <c r="I91" s="721"/>
      <c r="J91" s="561"/>
      <c r="K91" s="724"/>
      <c r="L91" s="542"/>
      <c r="M91" s="542"/>
    </row>
    <row r="92" spans="4:13">
      <c r="D92" s="542"/>
      <c r="E92" s="542"/>
      <c r="F92" s="565"/>
      <c r="G92" s="542"/>
      <c r="H92" s="566"/>
      <c r="I92" s="721"/>
      <c r="J92" s="561"/>
      <c r="K92" s="724"/>
      <c r="L92" s="542"/>
      <c r="M92" s="542"/>
    </row>
    <row r="93" spans="4:13">
      <c r="D93" s="542"/>
      <c r="E93" s="542"/>
      <c r="F93" s="565"/>
      <c r="G93" s="542"/>
      <c r="H93" s="566"/>
      <c r="I93" s="721"/>
      <c r="J93" s="561"/>
      <c r="K93" s="724"/>
      <c r="L93" s="542"/>
      <c r="M93" s="542"/>
    </row>
    <row r="94" spans="4:13">
      <c r="D94" s="542"/>
      <c r="E94" s="542"/>
      <c r="F94" s="565"/>
      <c r="G94" s="542"/>
      <c r="H94" s="566"/>
      <c r="I94" s="721"/>
      <c r="J94" s="561"/>
      <c r="K94" s="724"/>
      <c r="L94" s="542"/>
      <c r="M94" s="542"/>
    </row>
    <row r="95" spans="4:13">
      <c r="D95" s="542"/>
      <c r="E95" s="542"/>
      <c r="F95" s="565"/>
      <c r="G95" s="542"/>
      <c r="H95" s="566"/>
      <c r="I95" s="721"/>
      <c r="J95" s="561"/>
      <c r="K95" s="724"/>
      <c r="L95" s="542"/>
      <c r="M95" s="542"/>
    </row>
    <row r="96" spans="4:13">
      <c r="D96" s="542"/>
      <c r="E96" s="542"/>
      <c r="F96" s="565"/>
      <c r="G96" s="542"/>
      <c r="H96" s="566"/>
      <c r="I96" s="721"/>
      <c r="J96" s="561"/>
      <c r="K96" s="724"/>
      <c r="L96" s="542"/>
      <c r="M96" s="542"/>
    </row>
    <row r="97" spans="4:13">
      <c r="D97" s="542"/>
      <c r="E97" s="542"/>
      <c r="F97" s="565"/>
      <c r="G97" s="542"/>
      <c r="H97" s="566"/>
      <c r="I97" s="721"/>
      <c r="J97" s="561"/>
      <c r="K97" s="724"/>
      <c r="L97" s="542"/>
      <c r="M97" s="542"/>
    </row>
    <row r="98" spans="4:13">
      <c r="D98" s="542"/>
      <c r="E98" s="542"/>
      <c r="F98" s="565"/>
      <c r="G98" s="542"/>
      <c r="H98" s="566"/>
      <c r="I98" s="721"/>
      <c r="J98" s="561"/>
      <c r="K98" s="724"/>
      <c r="L98" s="542"/>
      <c r="M98" s="542"/>
    </row>
    <row r="99" spans="4:13">
      <c r="D99" s="542"/>
      <c r="E99" s="542"/>
      <c r="F99" s="565"/>
      <c r="G99" s="542"/>
      <c r="H99" s="566"/>
      <c r="I99" s="721"/>
      <c r="J99" s="561"/>
      <c r="K99" s="724"/>
      <c r="L99" s="542"/>
      <c r="M99" s="542"/>
    </row>
    <row r="100" spans="4:13">
      <c r="D100" s="542"/>
      <c r="E100" s="542"/>
      <c r="F100" s="565"/>
      <c r="G100" s="542"/>
      <c r="H100" s="566"/>
      <c r="I100" s="721"/>
      <c r="J100" s="561"/>
      <c r="K100" s="724"/>
      <c r="L100" s="542"/>
      <c r="M100" s="542"/>
    </row>
    <row r="101" spans="4:13">
      <c r="D101" s="542"/>
      <c r="E101" s="542"/>
      <c r="F101" s="565"/>
      <c r="G101" s="542"/>
      <c r="H101" s="566"/>
      <c r="I101" s="721"/>
      <c r="J101" s="561"/>
      <c r="K101" s="724"/>
      <c r="L101" s="542"/>
      <c r="M101" s="542"/>
    </row>
    <row r="102" spans="4:13">
      <c r="D102" s="542"/>
      <c r="E102" s="542"/>
      <c r="F102" s="565"/>
      <c r="G102" s="542"/>
      <c r="H102" s="566"/>
      <c r="I102" s="721"/>
      <c r="J102" s="561"/>
      <c r="K102" s="724"/>
      <c r="L102" s="542"/>
      <c r="M102" s="542"/>
    </row>
    <row r="103" spans="4:13">
      <c r="D103" s="542"/>
      <c r="E103" s="542"/>
      <c r="F103" s="565"/>
      <c r="G103" s="542"/>
      <c r="H103" s="566"/>
      <c r="I103" s="721"/>
      <c r="J103" s="561"/>
      <c r="K103" s="724"/>
      <c r="L103" s="542"/>
      <c r="M103" s="542"/>
    </row>
    <row r="104" spans="4:13">
      <c r="D104" s="542"/>
      <c r="E104" s="542"/>
      <c r="F104" s="565"/>
      <c r="G104" s="542"/>
      <c r="H104" s="566"/>
      <c r="I104" s="721"/>
      <c r="J104" s="561"/>
      <c r="K104" s="724"/>
      <c r="L104" s="542"/>
      <c r="M104" s="542"/>
    </row>
    <row r="105" spans="4:13">
      <c r="D105" s="542"/>
      <c r="E105" s="542"/>
      <c r="F105" s="565"/>
      <c r="G105" s="542"/>
      <c r="H105" s="566"/>
      <c r="I105" s="721"/>
      <c r="J105" s="561"/>
      <c r="K105" s="724"/>
      <c r="L105" s="542"/>
      <c r="M105" s="542"/>
    </row>
    <row r="106" spans="4:13">
      <c r="D106" s="542"/>
      <c r="E106" s="542"/>
      <c r="F106" s="565"/>
      <c r="G106" s="542"/>
      <c r="H106" s="566"/>
      <c r="I106" s="721"/>
      <c r="J106" s="561"/>
      <c r="K106" s="724"/>
      <c r="L106" s="542"/>
      <c r="M106" s="542"/>
    </row>
    <row r="107" spans="4:13">
      <c r="D107" s="542"/>
      <c r="E107" s="542"/>
      <c r="F107" s="565"/>
      <c r="G107" s="542"/>
      <c r="H107" s="566"/>
      <c r="I107" s="721"/>
      <c r="J107" s="561"/>
      <c r="K107" s="724"/>
      <c r="L107" s="542"/>
      <c r="M107" s="542"/>
    </row>
    <row r="108" spans="4:13">
      <c r="D108" s="542"/>
      <c r="E108" s="542"/>
      <c r="F108" s="565"/>
      <c r="G108" s="542"/>
      <c r="H108" s="566"/>
      <c r="I108" s="721"/>
      <c r="J108" s="561"/>
      <c r="K108" s="724"/>
      <c r="L108" s="542"/>
      <c r="M108" s="542"/>
    </row>
    <row r="109" spans="4:13">
      <c r="D109" s="542"/>
      <c r="E109" s="542"/>
      <c r="F109" s="565"/>
      <c r="G109" s="542"/>
      <c r="H109" s="566"/>
      <c r="I109" s="721"/>
      <c r="J109" s="561"/>
      <c r="K109" s="724"/>
      <c r="L109" s="542"/>
      <c r="M109" s="542"/>
    </row>
    <row r="110" spans="4:13">
      <c r="D110" s="542"/>
      <c r="E110" s="542"/>
      <c r="F110" s="565"/>
      <c r="G110" s="542"/>
      <c r="H110" s="566"/>
      <c r="I110" s="721"/>
      <c r="J110" s="561"/>
      <c r="K110" s="724"/>
      <c r="L110" s="542"/>
      <c r="M110" s="542"/>
    </row>
    <row r="111" spans="4:13">
      <c r="D111" s="542"/>
      <c r="E111" s="542"/>
      <c r="F111" s="565"/>
      <c r="G111" s="542"/>
      <c r="H111" s="566"/>
      <c r="I111" s="721"/>
      <c r="J111" s="561"/>
      <c r="K111" s="724"/>
      <c r="L111" s="542"/>
      <c r="M111" s="542"/>
    </row>
    <row r="112" spans="4:13">
      <c r="D112" s="542"/>
      <c r="E112" s="542"/>
      <c r="F112" s="565"/>
      <c r="G112" s="542"/>
      <c r="H112" s="566"/>
      <c r="I112" s="721"/>
      <c r="J112" s="561"/>
      <c r="K112" s="724"/>
      <c r="L112" s="542"/>
      <c r="M112" s="542"/>
    </row>
    <row r="113" spans="4:13">
      <c r="D113" s="542"/>
      <c r="E113" s="542"/>
      <c r="F113" s="565"/>
      <c r="G113" s="542"/>
      <c r="H113" s="566"/>
      <c r="I113" s="721"/>
      <c r="J113" s="561"/>
      <c r="K113" s="724"/>
      <c r="L113" s="542"/>
      <c r="M113" s="542"/>
    </row>
    <row r="114" spans="4:13">
      <c r="D114" s="542"/>
      <c r="E114" s="542"/>
      <c r="F114" s="565"/>
      <c r="G114" s="542"/>
      <c r="H114" s="566"/>
      <c r="I114" s="721"/>
      <c r="J114" s="561"/>
      <c r="K114" s="724"/>
      <c r="L114" s="542"/>
      <c r="M114" s="542"/>
    </row>
    <row r="115" spans="4:13">
      <c r="D115" s="542"/>
      <c r="E115" s="542"/>
      <c r="F115" s="565"/>
      <c r="G115" s="542"/>
      <c r="H115" s="566"/>
      <c r="I115" s="721"/>
      <c r="J115" s="561"/>
      <c r="K115" s="724"/>
      <c r="L115" s="542"/>
      <c r="M115" s="542"/>
    </row>
    <row r="116" spans="4:13">
      <c r="D116" s="542"/>
      <c r="E116" s="542"/>
      <c r="F116" s="565"/>
      <c r="G116" s="542"/>
      <c r="H116" s="566"/>
      <c r="I116" s="721"/>
      <c r="J116" s="561"/>
      <c r="K116" s="724"/>
      <c r="L116" s="542"/>
      <c r="M116" s="542"/>
    </row>
    <row r="117" spans="4:13">
      <c r="D117" s="542"/>
      <c r="E117" s="542"/>
      <c r="F117" s="565"/>
      <c r="G117" s="542"/>
      <c r="H117" s="566"/>
      <c r="I117" s="721"/>
      <c r="J117" s="561"/>
      <c r="K117" s="724"/>
      <c r="L117" s="542"/>
      <c r="M117" s="542"/>
    </row>
    <row r="118" spans="4:13">
      <c r="D118" s="542"/>
      <c r="E118" s="542"/>
      <c r="F118" s="565"/>
      <c r="G118" s="542"/>
      <c r="H118" s="566"/>
      <c r="I118" s="721"/>
      <c r="J118" s="561"/>
      <c r="K118" s="724"/>
      <c r="L118" s="542"/>
      <c r="M118" s="542"/>
    </row>
    <row r="119" spans="4:13">
      <c r="D119" s="554"/>
      <c r="E119" s="542"/>
      <c r="F119" s="565"/>
      <c r="G119" s="542"/>
      <c r="H119" s="566"/>
      <c r="I119" s="721"/>
      <c r="J119" s="561"/>
      <c r="K119" s="724"/>
      <c r="L119" s="542"/>
      <c r="M119" s="542"/>
    </row>
    <row r="120" spans="4:13">
      <c r="D120" s="554"/>
      <c r="E120" s="554"/>
      <c r="F120" s="565"/>
      <c r="G120" s="554"/>
      <c r="H120" s="566"/>
    </row>
    <row r="121" spans="4:13">
      <c r="D121" s="554"/>
      <c r="E121" s="554"/>
      <c r="F121" s="565"/>
      <c r="G121" s="554"/>
      <c r="H121" s="566"/>
    </row>
    <row r="122" spans="4:13">
      <c r="D122" s="554"/>
      <c r="E122" s="554"/>
      <c r="F122" s="565"/>
      <c r="G122" s="554"/>
      <c r="H122" s="566"/>
    </row>
    <row r="123" spans="4:13">
      <c r="D123" s="554"/>
      <c r="E123" s="554"/>
      <c r="F123" s="565"/>
      <c r="G123" s="554"/>
      <c r="H123" s="566"/>
    </row>
    <row r="124" spans="4:13">
      <c r="D124" s="554"/>
      <c r="E124" s="554"/>
      <c r="F124" s="565"/>
      <c r="G124" s="554"/>
      <c r="H124" s="566"/>
    </row>
    <row r="125" spans="4:13">
      <c r="D125" s="554"/>
      <c r="E125" s="554"/>
      <c r="F125" s="565"/>
      <c r="G125" s="554"/>
      <c r="H125" s="566"/>
    </row>
    <row r="126" spans="4:13">
      <c r="D126" s="554"/>
      <c r="E126" s="554"/>
      <c r="F126" s="565"/>
      <c r="G126" s="554"/>
      <c r="H126" s="566"/>
    </row>
    <row r="127" spans="4:13">
      <c r="D127" s="554"/>
      <c r="E127" s="554"/>
      <c r="F127" s="565"/>
      <c r="G127" s="554"/>
      <c r="H127" s="566"/>
    </row>
    <row r="128" spans="4:13">
      <c r="D128" s="554"/>
      <c r="E128" s="554"/>
      <c r="F128" s="565"/>
      <c r="G128" s="554"/>
      <c r="H128" s="566"/>
    </row>
    <row r="129" spans="4:8">
      <c r="D129" s="554"/>
      <c r="E129" s="554"/>
      <c r="F129" s="565"/>
      <c r="G129" s="554"/>
      <c r="H129" s="566"/>
    </row>
    <row r="130" spans="4:8">
      <c r="D130" s="554"/>
      <c r="E130" s="554"/>
      <c r="F130" s="565"/>
      <c r="G130" s="554"/>
      <c r="H130" s="566"/>
    </row>
    <row r="131" spans="4:8">
      <c r="D131" s="554"/>
      <c r="E131" s="554"/>
      <c r="F131" s="565"/>
      <c r="G131" s="554"/>
      <c r="H131" s="566"/>
    </row>
    <row r="132" spans="4:8">
      <c r="D132" s="554"/>
      <c r="E132" s="554"/>
      <c r="F132" s="565"/>
      <c r="G132" s="554"/>
      <c r="H132" s="566"/>
    </row>
    <row r="133" spans="4:8">
      <c r="D133" s="554"/>
      <c r="E133" s="554"/>
      <c r="F133" s="565"/>
      <c r="G133" s="554"/>
      <c r="H133" s="566"/>
    </row>
    <row r="134" spans="4:8">
      <c r="D134" s="554"/>
      <c r="E134" s="554"/>
      <c r="F134" s="565"/>
      <c r="G134" s="554"/>
      <c r="H134" s="566"/>
    </row>
    <row r="135" spans="4:8">
      <c r="D135" s="554"/>
      <c r="E135" s="554"/>
      <c r="F135" s="565"/>
      <c r="G135" s="554"/>
      <c r="H135" s="566"/>
    </row>
    <row r="136" spans="4:8">
      <c r="D136" s="554"/>
      <c r="E136" s="554"/>
      <c r="F136" s="565"/>
      <c r="G136" s="554"/>
      <c r="H136" s="566"/>
    </row>
    <row r="137" spans="4:8">
      <c r="D137" s="554"/>
      <c r="E137" s="554"/>
      <c r="F137" s="565"/>
      <c r="G137" s="554"/>
      <c r="H137" s="566"/>
    </row>
    <row r="138" spans="4:8">
      <c r="D138" s="554"/>
      <c r="E138" s="554"/>
      <c r="F138" s="565"/>
      <c r="G138" s="554"/>
      <c r="H138" s="566"/>
    </row>
    <row r="139" spans="4:8">
      <c r="D139" s="554"/>
      <c r="E139" s="554"/>
      <c r="F139" s="565"/>
      <c r="G139" s="554"/>
      <c r="H139" s="566"/>
    </row>
    <row r="140" spans="4:8">
      <c r="D140" s="554"/>
      <c r="E140" s="554"/>
      <c r="F140" s="565"/>
      <c r="G140" s="554"/>
      <c r="H140" s="566"/>
    </row>
    <row r="141" spans="4:8">
      <c r="D141" s="554"/>
      <c r="E141" s="554"/>
      <c r="F141" s="565"/>
      <c r="G141" s="554"/>
      <c r="H141" s="566"/>
    </row>
    <row r="142" spans="4:8">
      <c r="D142" s="554"/>
      <c r="E142" s="554"/>
      <c r="F142" s="565"/>
      <c r="G142" s="554"/>
      <c r="H142" s="566"/>
    </row>
    <row r="143" spans="4:8">
      <c r="D143" s="554"/>
      <c r="E143" s="554"/>
      <c r="F143" s="565"/>
      <c r="G143" s="554"/>
      <c r="H143" s="566"/>
    </row>
    <row r="144" spans="4:8">
      <c r="D144" s="554"/>
      <c r="E144" s="554"/>
      <c r="F144" s="565"/>
      <c r="G144" s="554"/>
      <c r="H144" s="566"/>
    </row>
    <row r="145" spans="4:8">
      <c r="D145" s="554"/>
      <c r="E145" s="554"/>
      <c r="F145" s="565"/>
      <c r="G145" s="554"/>
      <c r="H145" s="566"/>
    </row>
    <row r="146" spans="4:8">
      <c r="D146" s="554"/>
      <c r="E146" s="554"/>
      <c r="F146" s="565"/>
      <c r="G146" s="554"/>
      <c r="H146" s="566"/>
    </row>
    <row r="147" spans="4:8">
      <c r="D147" s="554"/>
      <c r="E147" s="554"/>
      <c r="F147" s="565"/>
      <c r="G147" s="554"/>
      <c r="H147" s="566"/>
    </row>
    <row r="148" spans="4:8">
      <c r="D148" s="554"/>
      <c r="E148" s="554"/>
      <c r="F148" s="565"/>
      <c r="G148" s="554"/>
      <c r="H148" s="566"/>
    </row>
    <row r="149" spans="4:8">
      <c r="D149" s="554"/>
      <c r="E149" s="554"/>
      <c r="F149" s="565"/>
      <c r="G149" s="554"/>
      <c r="H149" s="566"/>
    </row>
    <row r="150" spans="4:8">
      <c r="D150" s="554"/>
      <c r="E150" s="554"/>
      <c r="F150" s="565"/>
      <c r="G150" s="554"/>
      <c r="H150" s="566"/>
    </row>
    <row r="151" spans="4:8">
      <c r="D151" s="554"/>
      <c r="E151" s="554"/>
      <c r="F151" s="565"/>
      <c r="G151" s="554"/>
      <c r="H151" s="566"/>
    </row>
    <row r="152" spans="4:8">
      <c r="D152" s="554"/>
      <c r="E152" s="554"/>
      <c r="F152" s="565"/>
      <c r="G152" s="554"/>
      <c r="H152" s="566"/>
    </row>
    <row r="153" spans="4:8">
      <c r="D153" s="554"/>
      <c r="E153" s="554"/>
      <c r="F153" s="565"/>
      <c r="G153" s="554"/>
      <c r="H153" s="566"/>
    </row>
    <row r="154" spans="4:8">
      <c r="D154" s="554"/>
      <c r="E154" s="554"/>
      <c r="F154" s="565"/>
      <c r="G154" s="554"/>
      <c r="H154" s="566"/>
    </row>
    <row r="155" spans="4:8">
      <c r="D155" s="554"/>
      <c r="E155" s="554"/>
      <c r="F155" s="565"/>
      <c r="G155" s="554"/>
      <c r="H155" s="566"/>
    </row>
    <row r="156" spans="4:8">
      <c r="D156" s="554"/>
      <c r="E156" s="554"/>
      <c r="F156" s="565"/>
      <c r="G156" s="554"/>
      <c r="H156" s="566"/>
    </row>
    <row r="157" spans="4:8">
      <c r="D157" s="554"/>
      <c r="E157" s="554"/>
      <c r="F157" s="565"/>
      <c r="G157" s="554"/>
      <c r="H157" s="566"/>
    </row>
    <row r="158" spans="4:8">
      <c r="D158" s="554"/>
      <c r="E158" s="554"/>
      <c r="F158" s="565"/>
      <c r="G158" s="554"/>
      <c r="H158" s="566"/>
    </row>
    <row r="159" spans="4:8">
      <c r="D159" s="554"/>
      <c r="E159" s="554"/>
      <c r="F159" s="565"/>
      <c r="G159" s="554"/>
      <c r="H159" s="566"/>
    </row>
    <row r="160" spans="4:8">
      <c r="D160" s="554"/>
      <c r="E160" s="554"/>
      <c r="F160" s="565"/>
      <c r="G160" s="554"/>
      <c r="H160" s="566"/>
    </row>
    <row r="161" spans="4:8">
      <c r="D161" s="554"/>
      <c r="E161" s="554"/>
      <c r="F161" s="565"/>
      <c r="G161" s="554"/>
      <c r="H161" s="566"/>
    </row>
    <row r="162" spans="4:8">
      <c r="D162" s="554"/>
      <c r="E162" s="554"/>
      <c r="F162" s="565"/>
      <c r="G162" s="554"/>
      <c r="H162" s="566"/>
    </row>
    <row r="163" spans="4:8">
      <c r="D163" s="554"/>
      <c r="E163" s="554"/>
      <c r="F163" s="565"/>
      <c r="G163" s="554"/>
      <c r="H163" s="566"/>
    </row>
    <row r="164" spans="4:8">
      <c r="D164" s="554"/>
      <c r="E164" s="554"/>
      <c r="F164" s="565"/>
      <c r="G164" s="554"/>
      <c r="H164" s="566"/>
    </row>
    <row r="165" spans="4:8">
      <c r="D165" s="554"/>
      <c r="E165" s="554"/>
      <c r="F165" s="565"/>
      <c r="G165" s="554"/>
      <c r="H165" s="566"/>
    </row>
    <row r="166" spans="4:8">
      <c r="D166" s="554"/>
      <c r="E166" s="554"/>
      <c r="F166" s="565"/>
      <c r="G166" s="554"/>
      <c r="H166" s="566"/>
    </row>
    <row r="167" spans="4:8">
      <c r="D167" s="554"/>
      <c r="E167" s="554"/>
      <c r="F167" s="565"/>
      <c r="G167" s="554"/>
      <c r="H167" s="566"/>
    </row>
    <row r="168" spans="4:8">
      <c r="D168" s="554"/>
      <c r="E168" s="554"/>
      <c r="F168" s="565"/>
      <c r="G168" s="554"/>
      <c r="H168" s="566"/>
    </row>
    <row r="169" spans="4:8">
      <c r="D169" s="554"/>
      <c r="E169" s="554"/>
      <c r="F169" s="565"/>
      <c r="G169" s="554"/>
      <c r="H169" s="566"/>
    </row>
    <row r="170" spans="4:8">
      <c r="D170" s="554"/>
      <c r="E170" s="554"/>
      <c r="F170" s="565"/>
      <c r="G170" s="554"/>
      <c r="H170" s="566"/>
    </row>
    <row r="171" spans="4:8">
      <c r="D171" s="554"/>
      <c r="E171" s="554"/>
      <c r="F171" s="565"/>
      <c r="G171" s="554"/>
      <c r="H171" s="566"/>
    </row>
    <row r="172" spans="4:8">
      <c r="D172" s="554"/>
      <c r="E172" s="554"/>
      <c r="F172" s="565"/>
      <c r="G172" s="554"/>
      <c r="H172" s="566"/>
    </row>
    <row r="173" spans="4:8">
      <c r="D173" s="554"/>
      <c r="E173" s="554"/>
      <c r="F173" s="565"/>
      <c r="G173" s="554"/>
      <c r="H173" s="566"/>
    </row>
    <row r="174" spans="4:8">
      <c r="D174" s="554"/>
      <c r="E174" s="554"/>
      <c r="F174" s="565"/>
      <c r="G174" s="554"/>
      <c r="H174" s="566"/>
    </row>
    <row r="175" spans="4:8">
      <c r="D175" s="554"/>
      <c r="E175" s="554"/>
      <c r="F175" s="565"/>
      <c r="G175" s="554"/>
      <c r="H175" s="566"/>
    </row>
    <row r="176" spans="4:8">
      <c r="E176" s="554"/>
      <c r="F176" s="565"/>
      <c r="G176" s="554"/>
      <c r="H176" s="566"/>
    </row>
  </sheetData>
  <sortState ref="A12:K42">
    <sortCondition ref="C12:C42"/>
  </sortState>
  <mergeCells count="5">
    <mergeCell ref="D4:K4"/>
    <mergeCell ref="D77:K77"/>
    <mergeCell ref="D76:K76"/>
    <mergeCell ref="D1:K1"/>
    <mergeCell ref="D2:K2"/>
  </mergeCells>
  <phoneticPr fontId="0" type="noConversion"/>
  <printOptions horizontalCentered="1"/>
  <pageMargins left="0.7" right="0.7" top="0.75" bottom="0.75" header="0.3" footer="0.3"/>
  <pageSetup scale="65" orientation="portrait" horizontalDpi="4294967293" r:id="rId1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Carry Forward</vt:lpstr>
      <vt:lpstr>2022-23 Wages &amp; Benefits</vt:lpstr>
      <vt:lpstr>Wage Schedule</vt:lpstr>
      <vt:lpstr>Personnel by Fund</vt:lpstr>
      <vt:lpstr>Combined GF Revenues</vt:lpstr>
      <vt:lpstr>GF-Admin &amp; Plng</vt:lpstr>
      <vt:lpstr>GF-Public Safety</vt:lpstr>
      <vt:lpstr>GF-Parks</vt:lpstr>
      <vt:lpstr>GF-NonDep't</vt:lpstr>
      <vt:lpstr>GF Combined Expenses</vt:lpstr>
      <vt:lpstr>GF Expenses by Division</vt:lpstr>
      <vt:lpstr>GF-Debt Svc</vt:lpstr>
      <vt:lpstr>Street</vt:lpstr>
      <vt:lpstr>Water</vt:lpstr>
      <vt:lpstr>Wastewater</vt:lpstr>
      <vt:lpstr>Storm Drain</vt:lpstr>
      <vt:lpstr>SDC</vt:lpstr>
      <vt:lpstr>Reserve</vt:lpstr>
      <vt:lpstr>All Funds Expenses-2020-21</vt:lpstr>
      <vt:lpstr>All Fund Revenues for LB-1</vt:lpstr>
      <vt:lpstr>CIP_Rec Costs</vt:lpstr>
      <vt:lpstr>'2022-23 Wages &amp; Benefits'!Print_Area</vt:lpstr>
      <vt:lpstr>'All Fund Revenues for LB-1'!Print_Area</vt:lpstr>
      <vt:lpstr>'All Funds Expenses-2020-21'!Print_Area</vt:lpstr>
      <vt:lpstr>'CIP_Rec Costs'!Print_Area</vt:lpstr>
      <vt:lpstr>'Combined GF Revenues'!Print_Area</vt:lpstr>
      <vt:lpstr>'GF Combined Expenses'!Print_Area</vt:lpstr>
      <vt:lpstr>'GF Expenses by Division'!Print_Area</vt:lpstr>
      <vt:lpstr>'GF-Admin &amp; Plng'!Print_Area</vt:lpstr>
      <vt:lpstr>'GF-NonDep''t'!Print_Area</vt:lpstr>
      <vt:lpstr>'GF-Parks'!Print_Area</vt:lpstr>
      <vt:lpstr>'GF-Public Safety'!Print_Area</vt:lpstr>
      <vt:lpstr>'Personnel by Fund'!Print_Area</vt:lpstr>
      <vt:lpstr>Reserve!Print_Area</vt:lpstr>
      <vt:lpstr>SDC!Print_Area</vt:lpstr>
      <vt:lpstr>'Storm Drain'!Print_Area</vt:lpstr>
      <vt:lpstr>Street!Print_Area</vt:lpstr>
      <vt:lpstr>'Wage Schedule'!Print_Area</vt:lpstr>
      <vt:lpstr>Wastewater!Print_Area</vt:lpstr>
      <vt:lpstr>Water!Print_Area</vt:lpstr>
      <vt:lpstr>'All Funds Expenses-2020-21'!Print_Titles</vt:lpstr>
      <vt:lpstr>'Personnel by Fund'!Print_Titles</vt:lpstr>
    </vt:vector>
  </TitlesOfParts>
  <Company>City of Adair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A</dc:creator>
  <cp:lastModifiedBy>debbie.smith</cp:lastModifiedBy>
  <cp:lastPrinted>2021-05-05T18:30:17Z</cp:lastPrinted>
  <dcterms:created xsi:type="dcterms:W3CDTF">2007-06-12T15:49:02Z</dcterms:created>
  <dcterms:modified xsi:type="dcterms:W3CDTF">2022-03-11T22:22:01Z</dcterms:modified>
</cp:coreProperties>
</file>